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Лист1 (2)" sheetId="1" r:id="rId1"/>
  </sheets>
  <definedNames>
    <definedName name="_xlnm.Print_Titles" localSheetId="0">'Лист1 (2)'!$13:$13</definedName>
    <definedName name="_xlnm.Print_Area" localSheetId="0">'Лист1 (2)'!$A$1:$F$687</definedName>
  </definedNames>
  <calcPr fullCalcOnLoad="1"/>
</workbook>
</file>

<file path=xl/comments1.xml><?xml version="1.0" encoding="utf-8"?>
<comments xmlns="http://schemas.openxmlformats.org/spreadsheetml/2006/main">
  <authors>
    <author>Константин М. Багатский</author>
  </authors>
  <commentList>
    <comment ref="J3" authorId="0">
      <text>
        <r>
          <rPr>
            <b/>
            <sz val="8"/>
            <rFont val="Tahoma"/>
            <family val="0"/>
          </rPr>
          <t xml:space="preserve">195063 из роялти
</t>
        </r>
      </text>
    </comment>
  </commentList>
</comments>
</file>

<file path=xl/sharedStrings.xml><?xml version="1.0" encoding="utf-8"?>
<sst xmlns="http://schemas.openxmlformats.org/spreadsheetml/2006/main" count="1122" uniqueCount="901">
  <si>
    <t>Дог. №22/09 від 22.09.2015р.320,00 грн.         з ПДВ</t>
  </si>
  <si>
    <t>Дог. №11224 від 07.09.2015р.355,44 грн.         з ПДВ</t>
  </si>
  <si>
    <t>Дог. №0914-01 від 14.09.2015р.5303,40 грн.         з ПДВ</t>
  </si>
  <si>
    <t>Дог. №15-4-7 від 07.04.2015р. 2473,65 грн.   без ПДВ</t>
  </si>
  <si>
    <t>Дог. №15-6-11 від 11.06.2015р.6204,00 грн.      без ПДВ</t>
  </si>
  <si>
    <t>Дог. №891від 09.06.2015р.5230,00 грн.      без ПДВ</t>
  </si>
  <si>
    <t>Дог. №6519 від 09.06.2015р.1827,48 грн.      без ПДВ</t>
  </si>
  <si>
    <t>Дог. №15-6-12 від 12.06.2015р.2492,65 грн.      без ПДВ</t>
  </si>
  <si>
    <t>Дог. № 103/5 від 21.05.2015 р.3780,00 грн.   без ПДВ</t>
  </si>
  <si>
    <t>Дог. №22/09 від 22.09.2015р.3070,34 грн.         з ПДВ</t>
  </si>
  <si>
    <t>Дог. №321 від 27.10.2015р.4125,35 грн.         без ПДВ</t>
  </si>
  <si>
    <t>Дог.№215 від 23.10.2015 р. 1817,83 грн. з ПДВ</t>
  </si>
  <si>
    <t>Дог. № ХА1-05551561 від 15.05.2015 р. 5181,42 грн.   без ПДВ</t>
  </si>
  <si>
    <t>Дог № ХА1-06551551 від 15.05.2015 р.2510,52 грн.   без ПДВ</t>
  </si>
  <si>
    <t>Дог № ХА1-06551541 від 15.05.2015 р.8853,06 грн.   без ПДВ</t>
  </si>
  <si>
    <t>Дог.№215 від 23.10.2015 р. 459,36 грн. з ПДВ</t>
  </si>
  <si>
    <t>Схеми друковані з умонтованими складниками</t>
  </si>
  <si>
    <t>Дог. № 1604-2 від 16.04.2015р. 1014,00 грн.            з ПДВ</t>
  </si>
  <si>
    <t>Код ДК 26.12.2</t>
  </si>
  <si>
    <t>Карти звукові, відео карти, мережеві карти та подібні карти до машин автоматичного оброблення даних</t>
  </si>
  <si>
    <t>7117 грн.</t>
  </si>
  <si>
    <t xml:space="preserve">Дог. № 728 від 16.11.2015 р. 3049,20 грн.         </t>
  </si>
  <si>
    <t>Дог. № 65/11/П від 16.11.2015 року 3662,40 грн.  без ПДВ</t>
  </si>
  <si>
    <t>Дог. № 65/11/П від 16.11.2015 року 2116,80 грн.  без ПДВ</t>
  </si>
  <si>
    <t>170,00 грн.</t>
  </si>
  <si>
    <t>Дог. № 6636 від 09.06.2015р. 1505,04 грн.            з ПДВ</t>
  </si>
  <si>
    <t>Дог. № 891      від 09.06.2015 р. 1396,00 грн.       з ПДВ</t>
  </si>
  <si>
    <t>Код ДК 26.20.1</t>
  </si>
  <si>
    <t>Машини обчислювальні, частини та приладдя до них</t>
  </si>
  <si>
    <t>Код ДК 26.20.2</t>
  </si>
  <si>
    <t>Блоки пам'яті та інші запам'ятовувальні пристрої</t>
  </si>
  <si>
    <t>Код ДК 26.20.3</t>
  </si>
  <si>
    <t>Блоки машин автоматичного обробляння інформації, інші</t>
  </si>
  <si>
    <t>Код ДК 26.20.4</t>
  </si>
  <si>
    <t>Частини та приладдя до обчислювальних машин</t>
  </si>
  <si>
    <t>Код ДК 26.51.4</t>
  </si>
  <si>
    <t>Прилади для вимірювання електричних величин і йонізівного випромінювання</t>
  </si>
  <si>
    <t>8150,00 грн.</t>
  </si>
  <si>
    <t>Код ДК 26.70.1</t>
  </si>
  <si>
    <t>Устаткування фотографічне та частини до нього</t>
  </si>
  <si>
    <t>Дог.№100615-01 від 10.06.2015 р. 912,00 грн.            з ПДВ</t>
  </si>
  <si>
    <t>Код ДК 26.80.1</t>
  </si>
  <si>
    <t>Носії інформації</t>
  </si>
  <si>
    <t>14900,00 грн.</t>
  </si>
  <si>
    <t>Дог. № 6636 від 09.06.2015р. 2309,16 грн.            з ПДВ</t>
  </si>
  <si>
    <t>Дог.№5258 від 06.07.2015 р. 75,91 грн.           з ПДВ</t>
  </si>
  <si>
    <t>Дог.№142 від 08.07.2015 р. 219,12 грн.           з ПДВ</t>
  </si>
  <si>
    <t>Дог.№15-8-6 від 06.08.2015 р. 3972,80 грн.           без ПДВ</t>
  </si>
  <si>
    <t>Код ДК 27.11.4</t>
  </si>
  <si>
    <t>Трансформатори електричні</t>
  </si>
  <si>
    <t>Дог.№160415-1 від 16.04.2015 р. 133,20 грн.            з ПДВ</t>
  </si>
  <si>
    <t>Код ДК 27.11.5</t>
  </si>
  <si>
    <t>Дог.№160415-1 від 16.04.2015 р. 41,22 грн.            з ПДВ</t>
  </si>
  <si>
    <t>Код ДК 27.12.1</t>
  </si>
  <si>
    <t>Апаратура електрична для комутації чи захисту електричних кіл на напругу більше ніж 1000 В</t>
  </si>
  <si>
    <t>Код ДК 27.20.1</t>
  </si>
  <si>
    <t>Елементи первинні, первинні батареї та частини до них</t>
  </si>
  <si>
    <t>Дог. № К-00000018 від 15.06.2015 р. 132,72 грн.           з ПДВ</t>
  </si>
  <si>
    <t>Код ДК 27.20.2</t>
  </si>
  <si>
    <t>Дог. № 002585 від 04.12.2015 р. 13927,20 грн.       з ПДВ</t>
  </si>
  <si>
    <t>Акумулятори електричні та частини до них</t>
  </si>
  <si>
    <t>Дог. № 290        від 11.06.2015 р. 582,00 грн.         з ПДВ</t>
  </si>
  <si>
    <t>Код ДК 27.32.1</t>
  </si>
  <si>
    <t>Проводи та кабелі електронні й електричні, інші</t>
  </si>
  <si>
    <t>Дог.№160415-1 від 16.04.2015 р. 54,00 грн.                з ПДВ</t>
  </si>
  <si>
    <t>Код ДК 27.33.1</t>
  </si>
  <si>
    <t>Пристрої електромонтажні</t>
  </si>
  <si>
    <t>Дог.№160415-1 від 16.04.2015 р. 20,40 грн.                з ПДВ</t>
  </si>
  <si>
    <t>Код ДК 27.40.1</t>
  </si>
  <si>
    <t>Лампи розжарювання та газорозрядні електричні; лампи дугові</t>
  </si>
  <si>
    <t>Дог. № 104 від 13.08.2015 р. 360,00 грн.          з ПДВ</t>
  </si>
  <si>
    <t>Код ДК 27.90.1</t>
  </si>
  <si>
    <t>Устаткування електричне, інше, та його частини</t>
  </si>
  <si>
    <t>Дог.№160415-1 від 16.04.2015 р. 150,00 грн.              з ПДВ</t>
  </si>
  <si>
    <t>Код ДК 27.90.2</t>
  </si>
  <si>
    <t>Панелі індикаторні з пристроями на рідинних кристалах або зі світлодіодами; апаратура електрична звукової чи візуальної сигналізації</t>
  </si>
  <si>
    <t>Дог.№100615-01 від 10.06.2015 р. 1493,00 грн.            з ПДВ</t>
  </si>
  <si>
    <t>198256 грн.</t>
  </si>
  <si>
    <t>Дог. № 241115 від 23.11.2015 р.737,40 грн.          з ПДВ</t>
  </si>
  <si>
    <t>Дог. № 241115 від 23.11.2015 р. 2487,60 грн.          з ПДВ</t>
  </si>
  <si>
    <t>Код ДК 27.90.3</t>
  </si>
  <si>
    <t>Устаткування для паяння м'якими та твердими припоями чи зварювання, машини й апарати для поверхневого термообробляння та гарячого напилення, електричні</t>
  </si>
  <si>
    <t>Код ДК 27.90.5</t>
  </si>
  <si>
    <t>Конденсатори електричні</t>
  </si>
  <si>
    <t>Дог.№160415-1 від 16.04.2015 р. 250,00 грн.           з ПДВ</t>
  </si>
  <si>
    <t>Код ДК 27.90.6</t>
  </si>
  <si>
    <t>Резистори електричні, крім нагрівальних резисторів</t>
  </si>
  <si>
    <t>Код ДК 28.11.4</t>
  </si>
  <si>
    <t>Частини двигунів</t>
  </si>
  <si>
    <t>Код ДК 28.14.1</t>
  </si>
  <si>
    <t>Крани, вентилі, клапани та подібні вироби до труб, котлів, резервуарів, цистерн і подібних виробів</t>
  </si>
  <si>
    <t>Код ДК 28.23.2</t>
  </si>
  <si>
    <t>Машини конторські/офісні, інші, та частини до них</t>
  </si>
  <si>
    <t>Дог. № 20150067         від 02.06.2015 р. 9699,30 грн.       з ПДВ</t>
  </si>
  <si>
    <t>Дог. № 290        від 11.06.2015 р. 1024,00 грн.       з ПДВ</t>
  </si>
  <si>
    <t>Дог. № 16/06/2     від 16.06.2015 р. 3112,00 грн.       без ПДВ</t>
  </si>
  <si>
    <t>Дог.№125 від 16.06.2015 р. 4203,60 грн.         з ПДВ</t>
  </si>
  <si>
    <t>Апаратура електрична для кому-тації чи захисту електричних кіл на напругу не більше ніж 1000 В</t>
  </si>
  <si>
    <t>Дог. № 727 від 09.11.2015 р. 11131,52 грн.            з ПДВ</t>
  </si>
  <si>
    <t>Дог.№ 556Го5хм від 07.12.2015 р. 970,58 грн.  без ПДВ</t>
  </si>
  <si>
    <t>5239,00 грн.</t>
  </si>
  <si>
    <t>Дог № 727 від 09.11.2015 р. 300,00 грн.         без ПДВ</t>
  </si>
  <si>
    <t xml:space="preserve">Дог. № 727 від 09.11.2015 р. 1320 грн.         </t>
  </si>
  <si>
    <t>5680,00 грн.</t>
  </si>
  <si>
    <t xml:space="preserve">Дог. № 727 від 09.11.2015 р. 2660,72 грн.         </t>
  </si>
  <si>
    <t>4471,00 грн.</t>
  </si>
  <si>
    <t xml:space="preserve">Дог. № 727 від 09.11.2015 р. 1275,00 грн.         </t>
  </si>
  <si>
    <t>2911,00 грн.</t>
  </si>
  <si>
    <t>6814,00 грн.</t>
  </si>
  <si>
    <t>Дог. № 602 від 09.11.2015 р. 718,00 грн.          з ПДВ</t>
  </si>
  <si>
    <t>Дог. № 602 від 09.11.2015 р. 1711,00 грн.          з ПДВ</t>
  </si>
  <si>
    <t>11202,00 грн.</t>
  </si>
  <si>
    <t>Дог. № 602 від 09.11.2015 р. 1314,00 грн.          з ПДВ</t>
  </si>
  <si>
    <t>Дог. № 602 від 09.11.2015 р. 2223,00 грн.          з ПДВ</t>
  </si>
  <si>
    <t>Дог. № 602 від 09.11.2015 р. 429,00 грн.          з ПДВ</t>
  </si>
  <si>
    <t>Дог. № 602 від 09.11.2015 р. 581,00 грн.          з ПДВ</t>
  </si>
  <si>
    <t>Дог. № 602 від 09.11.2015 р. 1687,00 грн.          з ПДВ</t>
  </si>
  <si>
    <t>Дог. № 602 від 09.11.2015 р. 898,00 грн.          з ПДВ</t>
  </si>
  <si>
    <t>Дог. № 602 від 09.11.2015 р. 25,00 грн.          з ПДВ</t>
  </si>
  <si>
    <t>Дог. № 602 від 09.11.2015 р. 568,00 грн.          з ПДВ</t>
  </si>
  <si>
    <t>Дог.№15-11-13-2 від 13.11.2015 р. 692,45 грн.          з ПДВ</t>
  </si>
  <si>
    <t>1792,00 грн.</t>
  </si>
  <si>
    <t>Код ДК 17.12.7</t>
  </si>
  <si>
    <t>Код ДК 27.12.2</t>
  </si>
  <si>
    <t>Папір і картон оброблені</t>
  </si>
  <si>
    <t>2101,00 грн.</t>
  </si>
  <si>
    <t>Дог. №203П/11 від 16.11.2015р.2100,02 грн.  з ПДВ</t>
  </si>
  <si>
    <t>Дог.№1391 від 07.07.2015 р. 3840,00 грн.         з ПДВ</t>
  </si>
  <si>
    <t>Дог.№06/07 від 06.07.2015 р. 2857,00 грн.         без ПДВ</t>
  </si>
  <si>
    <t>Дог15-8-7 від 07.08.2015 р. 282,20 грн.         без ПДВ</t>
  </si>
  <si>
    <t>Код ДК 28.24.1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</si>
  <si>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</si>
  <si>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Дог. № 104 від 13.08.2015 р. 1212,00 грн.          з ПДВ</t>
  </si>
  <si>
    <t>Код ДК 28.29.2</t>
  </si>
  <si>
    <t>Устаткування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</t>
  </si>
  <si>
    <t>Дог. № 9/4  від 24.05.2015 р. 5538,00 грн.       з ПДВ</t>
  </si>
  <si>
    <t>Код ДК 28.29.6</t>
  </si>
  <si>
    <t>Машини та устаткування для оброблення матеріалів зміненням температури, н.в.і.у.</t>
  </si>
  <si>
    <t>Дог. № 104 від 13.08.2015 р. 453,00 грн.          з ПДВ</t>
  </si>
  <si>
    <t>Код ДК 29.32.3</t>
  </si>
  <si>
    <t>Частини та приладдя до моторних транспортних засобів, н. в. і. у.</t>
  </si>
  <si>
    <t>Дог. № 15/4 від 15.04.2015р. 1343,00 грн.   без ПДВ</t>
  </si>
  <si>
    <t>Код ДК 32.91.1</t>
  </si>
  <si>
    <t>Мітли та щітки</t>
  </si>
  <si>
    <t>Код ДК 32.99.1</t>
  </si>
  <si>
    <t>Убори наголовні захисні; ручки для писання та олівці, дошки, штемпелі для датування.</t>
  </si>
  <si>
    <t xml:space="preserve">8015,00 грн. </t>
  </si>
  <si>
    <t>Дог.№336 від 12.05.2015 р. 900,00 грн.           з ПДВ</t>
  </si>
  <si>
    <t>Дог. № К-00000018 від 15.06.2015 р. 353,52 грн.           з ПДВ</t>
  </si>
  <si>
    <t>Дог.№125 від 16.06.2015 р. 141,50 грн.         з ПДВ</t>
  </si>
  <si>
    <t>Дог.№5258 від 06.07.2015 р. 141,12 грн.         з ПДВ</t>
  </si>
  <si>
    <t>Дог. № 11-12 від 14.12.2015 р. 192,96 грн.          з ПДВ</t>
  </si>
  <si>
    <t>11332,00 грн.</t>
  </si>
  <si>
    <t>Дог. № 11-12 від 14.12.2015 р. 224,04 грн.          з ПДВ</t>
  </si>
  <si>
    <t>20943,00 грн.</t>
  </si>
  <si>
    <t>Дог. № 11-12 від 14.12.2015 р. 648,12 грн.          з ПДВ</t>
  </si>
  <si>
    <t>Дог.№142 від 08.07.2015 р. 1,45 грн.             з ПДВ</t>
  </si>
  <si>
    <t>Дог.№213 від 23.10.2015 р. 975,94 грн.         з ПДВ</t>
  </si>
  <si>
    <t>Код ДК 58.11.1</t>
  </si>
  <si>
    <t>Книжки  друковані</t>
  </si>
  <si>
    <t>Код ДК 58.13.1</t>
  </si>
  <si>
    <t>Газети друковані</t>
  </si>
  <si>
    <t>Код ДК 58.14.1</t>
  </si>
  <si>
    <t>Журнали та періодичні видання друковані</t>
  </si>
  <si>
    <t>Дог. № 220 від 13.03.2015 р. 4228,20 грн.    без ПДВ</t>
  </si>
  <si>
    <t>Код ДК 58.19.1</t>
  </si>
  <si>
    <t>Послуги  щодо видавання друкованої продукції, інші</t>
  </si>
  <si>
    <t>Дог № 395 від 27.04.2012р. Дод.уг.№3 від 23.09.15р.           25,00 грн.        без ПДВ</t>
  </si>
  <si>
    <t>25,00 грн.        без ПДВ</t>
  </si>
  <si>
    <t>Дог.№651/7 від 10.06.2015 р. 2000,00 грн.           з ПДВ</t>
  </si>
  <si>
    <t>РАЗОМ ЗА КЕКВ 2210</t>
  </si>
  <si>
    <t>Голова комітету з конкурсних торгів _____________________________    М.І. ГЛУЩУК</t>
  </si>
  <si>
    <t>Секретар комітету з конкурсних торгів ___________________________    К.М. БАГАЦЬКИЙ</t>
  </si>
  <si>
    <t>план</t>
  </si>
  <si>
    <t>бюдж</t>
  </si>
  <si>
    <t>спецф</t>
  </si>
  <si>
    <t>факт</t>
  </si>
  <si>
    <t>остаток</t>
  </si>
  <si>
    <t>всего</t>
  </si>
  <si>
    <t xml:space="preserve">2464,02 грн. з ПДВ </t>
  </si>
  <si>
    <t>2190,24 грн. з ПДВ</t>
  </si>
  <si>
    <t>2411,36 грн. з ПДВ</t>
  </si>
  <si>
    <t>2418,39 грн. з ПДВ</t>
  </si>
  <si>
    <t>41,77 грн.з ПДВ</t>
  </si>
  <si>
    <t xml:space="preserve">2098,98 грн.  з ПДВ </t>
  </si>
  <si>
    <t>1916,46 грн.   з ПДВ</t>
  </si>
  <si>
    <t>52,66 грн. з ПДВ</t>
  </si>
  <si>
    <t>566,86 грн. з ПДВ</t>
  </si>
  <si>
    <t>Дог. № РЗ65 від.14.07.2015 р. 5552,40 грн. з ПДВ</t>
  </si>
  <si>
    <t xml:space="preserve">Дог. № 147/1506-15 від 15.06.2015 року 1108,80 грн.  з ПДВ </t>
  </si>
  <si>
    <t>Предмет закупівлі</t>
  </si>
  <si>
    <t>Додаток до річного плану закупівель</t>
  </si>
  <si>
    <t>Фізико-технічного інституту низьких температур ім. Б.І.Вєркіна</t>
  </si>
  <si>
    <t>НАН України на 2015 рік</t>
  </si>
  <si>
    <t>Код КЕКВ (для бюджетних коштів)</t>
  </si>
  <si>
    <t>Очікувана вартість предмета закупівлі, грн.</t>
  </si>
  <si>
    <t>Процедура закупівлі</t>
  </si>
  <si>
    <t>Орієнтовний початок проведення процедури закупівлі</t>
  </si>
  <si>
    <t>Примітки</t>
  </si>
  <si>
    <t>Код ДК 36.00.2</t>
  </si>
  <si>
    <t xml:space="preserve">Обробляння та розподіляння води трубопроводами </t>
  </si>
  <si>
    <t>2281(2272)</t>
  </si>
  <si>
    <t>70460,00 грн.</t>
  </si>
  <si>
    <t>Код ДК 37.00.1</t>
  </si>
  <si>
    <t xml:space="preserve">Послуги каналізаційні </t>
  </si>
  <si>
    <t>59301,00 грн.</t>
  </si>
  <si>
    <t>РАЗОМ ЗА КЕКВ 2272</t>
  </si>
  <si>
    <t>129761,00 грн.</t>
  </si>
  <si>
    <t>Код ДК 33.12.1</t>
  </si>
  <si>
    <t>Ремонтування та технічне обслуговування машин загальної призначеності</t>
  </si>
  <si>
    <t>2281(2240)</t>
  </si>
  <si>
    <t>7100,00 грн.</t>
  </si>
  <si>
    <t>Код ДК 33.13.1</t>
  </si>
  <si>
    <t>Ремонтування та технічне обслуговування електронного й оптичного устаткування</t>
  </si>
  <si>
    <t>Код ДК 33.14.1</t>
  </si>
  <si>
    <t>Ремонтування та технічне обслуговування іншого електричного устаткування</t>
  </si>
  <si>
    <t>37354 грн.</t>
  </si>
  <si>
    <t>Код ДК 38.11.2</t>
  </si>
  <si>
    <t>Збирання безпечних відходів, непридатних для вторинного використовування</t>
  </si>
  <si>
    <t>Код ДК 38.11.6</t>
  </si>
  <si>
    <t>Послуги підприємств щодо перевезення безпечних відходів</t>
  </si>
  <si>
    <t>Код ДК 38.12.1</t>
  </si>
  <si>
    <t>11500,00 грн.</t>
  </si>
  <si>
    <t>1230,00 грн.</t>
  </si>
  <si>
    <t>Збирання небезпечних відходів</t>
  </si>
  <si>
    <t>Код ДК 38.21.2</t>
  </si>
  <si>
    <t>Розміщування безпечних відходів</t>
  </si>
  <si>
    <t>10000,00 грн.</t>
  </si>
  <si>
    <t>Код ДК 43.21.1</t>
  </si>
  <si>
    <t>Роботи електромонтажні</t>
  </si>
  <si>
    <t>Код ДК 45.20.1</t>
  </si>
  <si>
    <t>Технічне обслуговування та ремонтування автомобілів і маловантажних автотранспортних засобів</t>
  </si>
  <si>
    <t>13058,00 грн.</t>
  </si>
  <si>
    <t>Код ДК 45.20.2</t>
  </si>
  <si>
    <t xml:space="preserve">Технічне обслуговування та ремонтування інших автотранспортних засобів </t>
  </si>
  <si>
    <t>Код ДК 53.20.1</t>
  </si>
  <si>
    <t>Послуги поштові та кур’єрскі інші</t>
  </si>
  <si>
    <t>15892,00 грн.</t>
  </si>
  <si>
    <t>Код ДК 58.14.2</t>
  </si>
  <si>
    <t>Інтернет-журнали та періодичні інтернет-видання</t>
  </si>
  <si>
    <t>93000,00 грн.</t>
  </si>
  <si>
    <t>39411,04 грн.     з ПДВ</t>
  </si>
  <si>
    <t>Код ДК 58.29.1</t>
  </si>
  <si>
    <t xml:space="preserve">Програмне забезпечення системне на фізичних носіях  </t>
  </si>
  <si>
    <t>10390,00 грн.</t>
  </si>
  <si>
    <t>Дог. № 0З534601 від 25.02.2015 р. 384 грн. з ПДВ</t>
  </si>
  <si>
    <t>Код ДК 61.10.1</t>
  </si>
  <si>
    <t>Послуги щодо передавання даних і повідомлень</t>
  </si>
  <si>
    <t>39778,00 грн.</t>
  </si>
  <si>
    <t>Код ДК 61.10.4</t>
  </si>
  <si>
    <t>Послуги зв’язку Інтернетом проводними мережами</t>
  </si>
  <si>
    <t>Код ДК 62.02.2</t>
  </si>
  <si>
    <t>Послуги щодо консультування стосовно систем і програмного забезпечення</t>
  </si>
  <si>
    <t>Код ДК 63.11.1</t>
  </si>
  <si>
    <t>Дог № 221 від 09.11.2015року 38 грн. з ПДВ</t>
  </si>
  <si>
    <t>Дог. № 45 від 09.11.2015р. 1109,4 грн.         з ПДВ</t>
  </si>
  <si>
    <t>Дог №221 від 09.11.2015року 1726,94 грн.         з ПДВ</t>
  </si>
  <si>
    <t>Дог №224 від 09.11.2015року 319,3 грн.         з ПДВ</t>
  </si>
  <si>
    <t>Дог. № 54/11 від 05.11.2015 р. 12440 грн.          з ПДВ</t>
  </si>
  <si>
    <t>Дог. № 09-11/1 від 09.11.2015 р. 420 грн.          з ПДВ</t>
  </si>
  <si>
    <t>Дог №221 від 09.11.2015року 369,48 грн.         з ПДВ</t>
  </si>
  <si>
    <t>Дог. № 45 від 09.11.2015р. 409,2 грн.         з ПДВ</t>
  </si>
  <si>
    <t>Дог №221 від 09.11.2015року 213,8 грн.         з ПДВ</t>
  </si>
  <si>
    <t>Дог. № 45 від 09.11.2015р. 76,5 грн.         з ПДВ</t>
  </si>
  <si>
    <t>Дог. №03/12/15 від 03.12.2015 р. 31370,90 грн.       з ПДВ</t>
  </si>
  <si>
    <t>Дог.№15-12-1 від 01.12.2015 р. 4824,40 грн.         без ПДВ</t>
  </si>
  <si>
    <t>163 грн.</t>
  </si>
  <si>
    <t>Дог № ХА1-06551581 від 02.12.2015 р.13435,50 грн.   без ПДВ</t>
  </si>
  <si>
    <t>Дог № ХА1-06551581 від 02.12.2015 р. 7635,84 грн.   без ПДВ</t>
  </si>
  <si>
    <t>29436,00 грн.</t>
  </si>
  <si>
    <t>Елементи баластні до розрядних ламп або трубок; перетворювачі статичні; дроселі та катушки індуктивності, інші</t>
  </si>
  <si>
    <t xml:space="preserve">Послуги з поточного ремонту покрівлі будівлі корпусу вимірювальних приладів ФТІНТ     ім. Б.І. Вєркіна НАН України за адресою: пр-т Леніна, 47 в м. Харкові   Інвентарний номер: 10310007                        </t>
  </si>
  <si>
    <t xml:space="preserve">Послуги з поточного ремонту покрівлі будівлі адміністративного корпусу ФТІНТ     ім. Б.І. Вєркіна НАН України за адресою: пр-т Леніна, 47 в м. Харкові   Інвентарний номер: 10310001                        </t>
  </si>
  <si>
    <t>13928 грн.</t>
  </si>
  <si>
    <t>41931,00 грн.</t>
  </si>
  <si>
    <t>Дог №221 від 09.11.2015 року 67,58 грн.         з ПДВ</t>
  </si>
  <si>
    <t>Дог №224 від 09.11.2015року 99,28 грн.         з ПДВ</t>
  </si>
  <si>
    <t>Дог. № 45 від 09.11.2015р.43,8 грн.         з ПДВ</t>
  </si>
  <si>
    <t>Дог. № 45 від 09.11.2015р. 150,3 грн. з ПДВ</t>
  </si>
  <si>
    <t>Дог. №54/11 від 05.11.2015р. 780,21 грн. з ПДВ</t>
  </si>
  <si>
    <t>Дог. № 45 від 09.11.2015р. 2943,3 грн.         з ПДВ</t>
  </si>
  <si>
    <t>Дог №221 від 09.11.2015року 1823,96 грн.         з ПДВ</t>
  </si>
  <si>
    <t>Дог №224 від 09.11.2015року 1481,88 грн.         з ПДВ</t>
  </si>
  <si>
    <t>Дог. № 45 від 09.11.2015р. 108 грн.         з ПДВ</t>
  </si>
  <si>
    <t>Дог. № 45 від 09.11.2015р. 7768,807,8 грн.         з ПДВ</t>
  </si>
  <si>
    <t>Дог №221 від 09.11.2015року 49,8 грн.         з ПДВ</t>
  </si>
  <si>
    <t>2706,00 грн.</t>
  </si>
  <si>
    <t>Дог. № 45 від 09.11.2015р. 209,7 грн.         з ПДВ</t>
  </si>
  <si>
    <t>Дог №221 від 09.11.2015року 380,78 грн.         з ПДВ</t>
  </si>
  <si>
    <t>Дог №224 від 09.11.2015року 34,22 грн.         з ПДВ</t>
  </si>
  <si>
    <t>Дог №224 від 09.11.2015року 299,04 грн.         з ПДВ</t>
  </si>
  <si>
    <t xml:space="preserve">Дог. № 54/11 від 05.11.2015 р. 165 грн.         </t>
  </si>
  <si>
    <t>Дог. № 45 від 09.11.2015р. 654 грн.         з ПДВ</t>
  </si>
  <si>
    <t xml:space="preserve">Дог. № 54/11 від 05.11.2015 р. 3195,3 грн.         </t>
  </si>
  <si>
    <t xml:space="preserve">Дог. № 54/11 від 05.11.2015 р. 720,36 грн.         </t>
  </si>
  <si>
    <t>Дог. № 45 від 09.11.2015р. 1838,4 грн.         з ПДВ</t>
  </si>
  <si>
    <t>Дог №221 від 09.11.2015року 567,38 грн.         з ПДВ</t>
  </si>
  <si>
    <t>Дог №224 від 09.11.2015року 435,94 грн.         з ПДВ</t>
  </si>
  <si>
    <t>Код ДК 19.20.3</t>
  </si>
  <si>
    <t>Газ нафтовий та інші газоподібні вуглеводні, крім природного газу:</t>
  </si>
  <si>
    <t>162896 грн.</t>
  </si>
  <si>
    <t>918,00 грн.</t>
  </si>
  <si>
    <t>1743,00 грн.</t>
  </si>
  <si>
    <t xml:space="preserve">Послуги з поточного ремонту фасаду із матеріалів Підрядника будівлі корпуса КБ за адресою: пр-т Леніна, 47 в м. Харкові   Інвентарний номер: 10310100                  </t>
  </si>
  <si>
    <t>13410,00 грн.</t>
  </si>
  <si>
    <t>1453,00 грн.</t>
  </si>
  <si>
    <t>6840,00 грн.</t>
  </si>
  <si>
    <t>21752,00 грн.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</si>
  <si>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</t>
  </si>
  <si>
    <t>13108,00 грн.</t>
  </si>
  <si>
    <t xml:space="preserve">Дог. № 00000391/15/Б від 17.03.2015 року  1440,00 грн. з ПДВ </t>
  </si>
  <si>
    <t>Код ДК 64.11.1</t>
  </si>
  <si>
    <t>Послуги центрального банку</t>
  </si>
  <si>
    <r>
      <t>26300,00 грн</t>
    </r>
    <r>
      <rPr>
        <sz val="9"/>
        <rFont val="Times New Roman"/>
        <family val="1"/>
      </rPr>
      <t>.</t>
    </r>
  </si>
  <si>
    <t>Код ДК 65.12.1</t>
  </si>
  <si>
    <t>Послуги щодо страхування від нещасних випадків і страхування здоров'я</t>
  </si>
  <si>
    <t>11000,00 грн.</t>
  </si>
  <si>
    <t>Код ДК 65.12.2</t>
  </si>
  <si>
    <t>Послуги щодо страхування автотранспорту</t>
  </si>
  <si>
    <t>15240,00 грн.</t>
  </si>
  <si>
    <t>Код ДК 70.22.3</t>
  </si>
  <si>
    <t>Послуги консультаційні щодо господарської діяльності, інші</t>
  </si>
  <si>
    <t>28838,00 грн.</t>
  </si>
  <si>
    <t>Дог. № 2093 від 16.04.2015р. 500,00 грн.     без ПДВ</t>
  </si>
  <si>
    <t>Дог. № 2200 від 21.07.2015р. 360,00 грн.     без ПДВ</t>
  </si>
  <si>
    <t>Код ДК 71.12.1</t>
  </si>
  <si>
    <t>Послуги інженерні</t>
  </si>
  <si>
    <t>74821,00 грн.</t>
  </si>
  <si>
    <t>Код ДК 71.20.1</t>
  </si>
  <si>
    <t>Код ДК 28.23.1</t>
  </si>
  <si>
    <t>654 грн.</t>
  </si>
  <si>
    <t>Машинки друкарські, машини для обробляння текстів і лічильні машини</t>
  </si>
  <si>
    <t xml:space="preserve">Дог. № 46 від 09.11.2015р. 394,86 грн.        </t>
  </si>
  <si>
    <t>Дог. № 1/10 від 05.11.2015 р. 1500,00 грн. з ПДВ</t>
  </si>
  <si>
    <t>Дог. № 2/10 від 05.11.2015 р. 7160,00 грн. з ПДВ</t>
  </si>
  <si>
    <t>Код ДК 29.31.2</t>
  </si>
  <si>
    <t>Код ДК 13.10.6</t>
  </si>
  <si>
    <t>38,00 грн.</t>
  </si>
  <si>
    <t>Пряжа бавовняна та нитки бавовняні для шиття</t>
  </si>
  <si>
    <t>Дог. № 865 від 16.12.2015 р. 2911,98 грн. з ПДВ</t>
  </si>
  <si>
    <t>25571,00 грн.</t>
  </si>
  <si>
    <t>Дог №221 від 09.11.2015року 63,80 грн.         з ПДВ</t>
  </si>
  <si>
    <t>2769,00 грн.</t>
  </si>
  <si>
    <t>Прилади оптичні, інші, та їхні частини</t>
  </si>
  <si>
    <t>Код ДК 26.70.2</t>
  </si>
  <si>
    <t>64,00 грн.</t>
  </si>
  <si>
    <t>6030,00 грн.</t>
  </si>
  <si>
    <t>80971,00 грн.</t>
  </si>
  <si>
    <t>33888,00 грн.</t>
  </si>
  <si>
    <t>9010,00 грн.</t>
  </si>
  <si>
    <t>Дог. № 350/15 від 23.11.2015 року 179184,00 грн.  з ПДВ</t>
  </si>
  <si>
    <r>
      <t>40494,00 грн.</t>
    </r>
    <r>
      <rPr>
        <sz val="9"/>
        <rFont val="Times New Roman"/>
        <family val="1"/>
      </rPr>
      <t xml:space="preserve"> </t>
    </r>
  </si>
  <si>
    <t>9530,00 грн.</t>
  </si>
  <si>
    <t>Послуги щодо технічного випробування та аналізування</t>
  </si>
  <si>
    <t>Код ДК 80.20.1</t>
  </si>
  <si>
    <t>Послуги систем безпеки</t>
  </si>
  <si>
    <t>25180,00 грн.</t>
  </si>
  <si>
    <t>Дог. № Е814    від  03.04.2015р. 265,00 грн.          без ПДВ</t>
  </si>
  <si>
    <t>Код ДК 81.29.1</t>
  </si>
  <si>
    <t>Послуги щодо очищування, інші</t>
  </si>
  <si>
    <t>9700,00 грн.</t>
  </si>
  <si>
    <t>420,00 грн.      без ПДВ</t>
  </si>
  <si>
    <t>Код ДК 84.25.1</t>
  </si>
  <si>
    <t>Послуги пожежних служб</t>
  </si>
  <si>
    <t>24803,00 грн.</t>
  </si>
  <si>
    <t xml:space="preserve">Дог. №12/47 від 03.04.2015 р. 5199,98 грн.          з ПДВ </t>
  </si>
  <si>
    <t>3150,61 грн.          з ПДВ</t>
  </si>
  <si>
    <t>Код ДК 86.10.1</t>
  </si>
  <si>
    <t xml:space="preserve">Послуги лікувальних закладів </t>
  </si>
  <si>
    <t>52262,00 грн.</t>
  </si>
  <si>
    <t>4050,26 грн.        без ПДВ</t>
  </si>
  <si>
    <t>3516,76 грн.   без ПДВ</t>
  </si>
  <si>
    <t>3572,86 грн.   без ПДВ</t>
  </si>
  <si>
    <t>5000,00 грн.   без ПДВ</t>
  </si>
  <si>
    <t>Код ДК 86.90.1</t>
  </si>
  <si>
    <t xml:space="preserve">Послуги у сфері охорони здоров'я, інші </t>
  </si>
  <si>
    <t>Дог. № 61-15 від 24.03.2015 р. 9000,00 грн.          без ПДВ</t>
  </si>
  <si>
    <t>Дог. № 62-15 від 23.03.2015р                           13210,00 грн.          без ПДВ</t>
  </si>
  <si>
    <t>бюджет</t>
  </si>
  <si>
    <t>Дог. №Р-41/8.0 від 20.04.2015р. 6605,54 грн.       з ПДВ</t>
  </si>
  <si>
    <t>Дог. №1191/3,1 від 10.09.2015р. 1190,96 грн.       з ПДВ</t>
  </si>
  <si>
    <t>Дог. №1223/3,0 від 15.09.2015р. 1269,70 грн.       з ПДВ</t>
  </si>
  <si>
    <t>Код ДК 95.11.1</t>
  </si>
  <si>
    <t>Ремонтування комп'ютерів і периферійного устаткування</t>
  </si>
  <si>
    <t>ДСТУ Б Д.1.1-1:2013</t>
  </si>
  <si>
    <t>Поточний ремонт покрівлі будівель трансформаторних підстанцій № 2 (МРЕВ № 10310012), № 3 (МРЕВ № 10310004)</t>
  </si>
  <si>
    <t>57213,00 грн..</t>
  </si>
  <si>
    <t>Договір № 002490 від 15.10.2015 р., 57212,40 грн. з ПДВ</t>
  </si>
  <si>
    <t>Дог. № 19/09 від.18.09.2015 р. 6100,00 грн. без ПДВ</t>
  </si>
  <si>
    <t xml:space="preserve">Дог. № 715/2 від.06.03.2015 р. 2055,82 грн. з ПДВ </t>
  </si>
  <si>
    <t>Дог. № 2015008 від.23.03.2015 р. 450,00 грн. без ПДВ</t>
  </si>
  <si>
    <t>Дог. № 1/04 від 14.05.2015 р. 1790,00 грн.   без ПДВ</t>
  </si>
  <si>
    <t>Дог. № 2/04 від 14.05.2015 р. 360,00 грн. без ПДВ</t>
  </si>
  <si>
    <t>Дог. № 22/05 від  22.05. 2015 р. 240,00 грн. без ПДВ</t>
  </si>
  <si>
    <t>Дог. № 77 від.06.07.2015 р. 849,00 грн.          з ПДВ</t>
  </si>
  <si>
    <t>Дог. № Д-179 від 08.10.2015 р. 25124,05 грн. з ПДВ</t>
  </si>
  <si>
    <t>Дог. № 21/8 від.21.08.2015 р. 1904,83 грн. з ПДВ</t>
  </si>
  <si>
    <t>Дог. №18/126Г від.09.10.2015 р. 2614,80 грн. з ПДВ</t>
  </si>
  <si>
    <t xml:space="preserve">Дог. № 24 від 03.02.2015 р.  2190,24 грн. з ПДВ </t>
  </si>
  <si>
    <t xml:space="preserve">1108,80 грн. з ПДВ </t>
  </si>
  <si>
    <t>Дог. № 96/1803-15 від 25.03.2015 р. 1056,00 грн.  з ПДВ</t>
  </si>
  <si>
    <t>Дог. 187/1709-15 від 24.09.2015 р. 1122,00 грн.  з ПДВ</t>
  </si>
  <si>
    <t>Дог. №145-П від 06.03.2015 р. 158,60 грн. з ПДВ</t>
  </si>
  <si>
    <t>Дог. №МК-0001283 від  01.04.2015 р.  71,36 грн.  з ПДВ</t>
  </si>
  <si>
    <t>Дог. № МК-0000397 від  11.06.2015 р.  23,78 грн. з ПДВ</t>
  </si>
  <si>
    <t>23,78 грн. з ПДВ</t>
  </si>
  <si>
    <t>Дог. 193 від  19.05.2015 р.  391,00 грн. з ПДВ</t>
  </si>
  <si>
    <t>Дог. № 193 від 19.05.2015 р. 469 грн.</t>
  </si>
  <si>
    <t>Дог. № 193 від  19.05.2015 р.  391,00 грн.            з ПДВ</t>
  </si>
  <si>
    <t>Дог. № Л 1063 від 03.09.2015р. 2448,18 грн. без ПДВ</t>
  </si>
  <si>
    <t>Дог. № 34 К від 24.04.2015 р. 1956,71 грн. без ПДВ</t>
  </si>
  <si>
    <t>Дог. № 11/2 від 11.02.2015р. 265,00 грн. без ПДВ</t>
  </si>
  <si>
    <t>Дог. № 17/3 від 18.03.2015 р.330.00 грн. без ПДВ</t>
  </si>
  <si>
    <t>Дог № 17 від 16.04.2015 р.1008,00 грн. з ПДВ</t>
  </si>
  <si>
    <t>Дог № 2/08 від 03.08.2015 р.265,00 грн. з ПДВ</t>
  </si>
  <si>
    <t>Дог № 10/09 від 07.09.2015 р. 650,00 грн. з ПДВ</t>
  </si>
  <si>
    <t>Дог № 11/09 від 07.09.2015 р.200,00 грн. з ПДВ</t>
  </si>
  <si>
    <t>Дог. № 1032 від 25.02.2015 р.  37,20 грн.  з ПДВ</t>
  </si>
  <si>
    <t>37,20 грн.  з ПДВ</t>
  </si>
  <si>
    <t>22,80 грн.  з ПДВ</t>
  </si>
  <si>
    <t>Дог. № 374/7 від 10.04.2015 р.  1100,00 грн.  з ПДВ</t>
  </si>
  <si>
    <t>1100,00 грн. з ПДВ</t>
  </si>
  <si>
    <t>Дог. № 10011501-2015 від  01.01.2015р. 44058,00 грн. з ПДВ</t>
  </si>
  <si>
    <t>Дод. Угода №1 від 10.02.2015р. до Дог. №1057104236/939 від 05.02.2015р.882,54 грн.  з ПДВ</t>
  </si>
  <si>
    <t>4155,12 грн. з ПДВ</t>
  </si>
  <si>
    <t>4926,13 грн.  з ПДВ</t>
  </si>
  <si>
    <t>3227,00 грн.  з ПДВ</t>
  </si>
  <si>
    <t>4334,21 грн. з ПДВ</t>
  </si>
  <si>
    <t>4178,39 грн. з ПДВ</t>
  </si>
  <si>
    <r>
      <t xml:space="preserve">Дог. </t>
    </r>
    <r>
      <rPr>
        <sz val="8.5"/>
        <rFont val="Times New Roman"/>
        <family val="1"/>
      </rPr>
      <t>№ 057104236/939</t>
    </r>
    <r>
      <rPr>
        <sz val="9"/>
        <rFont val="Times New Roman"/>
        <family val="1"/>
      </rPr>
      <t xml:space="preserve"> від17.05.11р.Дод.уг№1від 10.02.2015р.120,00 грн.        без ПДВ</t>
    </r>
  </si>
  <si>
    <t>240,00 грн. без ПДВ</t>
  </si>
  <si>
    <t>108,00 грн.  без ПДВ</t>
  </si>
  <si>
    <t>108,00 грн. без ПДВ</t>
  </si>
  <si>
    <t>2400 грн. з ПДВ</t>
  </si>
  <si>
    <t>Дог. № Д-7929/15 від 01.09.2015р. 199,00 грн. з ПДВ</t>
  </si>
  <si>
    <t>199,00 грн.  з ПДВ</t>
  </si>
  <si>
    <t xml:space="preserve">Дог. №113408 від 05.02.2015р. 690,00 грн.  з ПДВ </t>
  </si>
  <si>
    <t>690,00 грн.  з ПДВ</t>
  </si>
  <si>
    <t>690,00 грн.    з ПДВ</t>
  </si>
  <si>
    <t>690,00 грн.   з ПДВ</t>
  </si>
  <si>
    <t xml:space="preserve">690,00 грн.  з ПДВ       </t>
  </si>
  <si>
    <t>Дог. № 76 від 25.02.2015 р. 180,00 грн. з ПДВ</t>
  </si>
  <si>
    <t xml:space="preserve">180,00 грн. з ПДВ </t>
  </si>
  <si>
    <t>180,00 грн. з ПДВ</t>
  </si>
  <si>
    <t>180,00 грн.   з ПДВ</t>
  </si>
  <si>
    <t>180,00 грн.  з ПДВ</t>
  </si>
  <si>
    <t>Дог. № 14-ПС від 16.03.2015 р.  300,00 грн. без ПДВ</t>
  </si>
  <si>
    <t>Дог. № 00000347/КЗ від 10.02.2015 р. 540,00 грн. з ПДВ</t>
  </si>
  <si>
    <t>90,00 грн.   з ПДВ</t>
  </si>
  <si>
    <t>90,00 грн.    з ПДВ</t>
  </si>
  <si>
    <t>90,00 грн.  з ПДВ</t>
  </si>
  <si>
    <t>Дод. Угода №1 від 29.01.2015р. до Дог. № 395 від 27.04.2015 р.   9,16 грн.   без ПДВ</t>
  </si>
  <si>
    <t>10,84 грн.   без ПДВ</t>
  </si>
  <si>
    <t>2.93 грн. без ПДВ</t>
  </si>
  <si>
    <t>37,00 грн. без ПДВ</t>
  </si>
  <si>
    <t>4,43 грн.  без ПДВ</t>
  </si>
  <si>
    <t>13,57 грн.   без ПДВ</t>
  </si>
  <si>
    <t>27,58 грн.  без ПДВ</t>
  </si>
  <si>
    <t>137,96 грн. без ПДВ</t>
  </si>
  <si>
    <t>2517,50 грн. без ПДВ</t>
  </si>
  <si>
    <t>2436,82 грн. без ПДВ</t>
  </si>
  <si>
    <t>2286,49 грн. без ПДВ</t>
  </si>
  <si>
    <t>2956,66 грн. без ПДВ</t>
  </si>
  <si>
    <t>2248,58 грн. без ПДВ</t>
  </si>
  <si>
    <t>Дог. 4/15 від 12.05.2015р. 402,23 грн. без ПДВ</t>
  </si>
  <si>
    <t>Дог. 7/15 від 01.09.2015р. 365,08 грн. без ПДВ</t>
  </si>
  <si>
    <t>Дог. № 032089 від 16.04.2015 р. 5846,40 грн.   без ПДВ</t>
  </si>
  <si>
    <t>Дог. № 315нсв5хм від 23.07.2015 року918,00 грн.     без ПДВ</t>
  </si>
  <si>
    <t>Дог. 067го5хм від 25.02.2015 р. 3297,02 грн. без ПДВ</t>
  </si>
  <si>
    <t>Дог.№ 127го5хм від 20.03.2015 р. 1156,68 грн.   без ПДВ</t>
  </si>
  <si>
    <t>Дог.№ 127го5хм від 20.03.2015 р. 1349,46 грн.  без ПДВ</t>
  </si>
  <si>
    <t>Дог. № 17-2510410 від 20.05.2015 454,61 грн. з ПДВ</t>
  </si>
  <si>
    <t>Дог. № С02-15/37 від 02.07.2015р. 1002,00 грн.  з ПДВ</t>
  </si>
  <si>
    <t xml:space="preserve">Дог.№  04/0502-15/НД від 28.04.2015 2160,00 грн.  з ПДВ </t>
  </si>
  <si>
    <t>Дог. № Д-134 від 23.04.2015р.884,40 грн.  з ПДВ</t>
  </si>
  <si>
    <t>Дод. Угода №2 від 27.04.2015р. до Дог. № 35/19-05 від 01.06.2013р.2350,50 грн.без ПДВ</t>
  </si>
  <si>
    <t>Дод. Угода №1 від 30.01.2015р. до Дог. № 35/19-05 від 01.06. 2013 р.2975,19 грн. без ПДВ</t>
  </si>
  <si>
    <t>Дог. № 7/7224 від 11.12.2015р.696,00 грн.  з ПДВ</t>
  </si>
  <si>
    <t xml:space="preserve">Дог. № 02/0502-15/НД від 17.03.2015 р.    8000,00 грн.  з ПДВ                   </t>
  </si>
  <si>
    <t>Дог. № 560 від 24.03.2015р. 3399,31 грн.   з ПДВ</t>
  </si>
  <si>
    <t>Дог. № 54/05-И від 24.03.2015р. 8627,88 грн.  з ПДВ</t>
  </si>
  <si>
    <t>Дог. № 19/8 від 19.08.2015р. 2600,00 грн.   з ПДВ</t>
  </si>
  <si>
    <t>Дог. № 01/2508-15/НД   від 01.09.2015р. 5000,00 грн.  з ПДВ</t>
  </si>
  <si>
    <t>Дог. № 3/15 від 06.03.2015 р.2000,00 грн.       з ПДВ</t>
  </si>
  <si>
    <t xml:space="preserve">1200,00 грн.   з ПДВ </t>
  </si>
  <si>
    <t xml:space="preserve">1200,00 грн.    з ПДВ </t>
  </si>
  <si>
    <t xml:space="preserve">Дог. № 03/0502-15/НД від 28.04.2015    7680,00 грн.           з ПДВ </t>
  </si>
  <si>
    <t>Дог. № 56 від 13.10.2015р.1008,00 грн.  з ПДВ</t>
  </si>
  <si>
    <t>265,00 грн.  без ПДВ</t>
  </si>
  <si>
    <t>265,00 грн. без ПДВ</t>
  </si>
  <si>
    <t>265,00 грн.   без ПДВ</t>
  </si>
  <si>
    <t>Дог. № 12/8 від 12.08.2015 року 3412,50 грн.  без ПДВ</t>
  </si>
  <si>
    <t>Дог №147 від 14.08.2015 року 650,00 грн.         з ПДВ</t>
  </si>
  <si>
    <t>Дог. № 15/06 від 15.06.2015 року 2297,61 грн.   з ПДВ</t>
  </si>
  <si>
    <t>Дог.№213 від 23.10.2015 р. 886,75 грн.  з ПДВ</t>
  </si>
  <si>
    <t>Дог. №321 від 27.10.2015р.130 грн. без ПДВ</t>
  </si>
  <si>
    <t>Дог. №9765  від 06.08.2015 року. 941,60 грн.           з ПДВ</t>
  </si>
  <si>
    <t>Дог.№ 0202/р    від  02.02.2015р.  6442,14 грн           з ПДВ</t>
  </si>
  <si>
    <t>Дог. №1585 від 10.06.2015р.    5765,40 грн.        з ПДВ</t>
  </si>
  <si>
    <t>Дог. №565 від 13.08.2015р.  3017,28 грн.        з ПДВ</t>
  </si>
  <si>
    <t>Дог. №582 від 28.10.2015р.  7112,22 грн.         з ПДВ</t>
  </si>
  <si>
    <t>Дог. №1585 від 10.06.2015р. 2005,20 грн.        з ПДВ</t>
  </si>
  <si>
    <t>Дог. №215 від 23.10.2015р. 74,89 грн.           з ПДВ</t>
  </si>
  <si>
    <t>Дог. №582 від 28.10.2015р. 2073,60 грн.         з ПДВ</t>
  </si>
  <si>
    <t>Дог.№ 5258 від 06.07.2015 р. 117,14 грн.         з ПДВ</t>
  </si>
  <si>
    <t>Дог. № 9765  від 06.08.2015 року.405,00 грн.           з ПДВ</t>
  </si>
  <si>
    <t>Дог. № 22/09 від 22.09.2015р.502,00 грн.         з ПДВ</t>
  </si>
  <si>
    <t>Дог.№ 213 від 23.10.2015 р. 924,96 грн.         з ПДВ</t>
  </si>
  <si>
    <t>Дог.№ 215 від 23.10.2015 р. 715,86 грн.         з ПДВ</t>
  </si>
  <si>
    <t>Дог. №31/7 від 08.07.2015р. 1290,00 грн.         без ПДВ</t>
  </si>
  <si>
    <t>Дог. №321 від 27.10.2015р. 298,47 грн.         без ПДВ</t>
  </si>
  <si>
    <t>68924,00 грн.</t>
  </si>
  <si>
    <t>7175,00 грн.</t>
  </si>
  <si>
    <t>Дог. №134/п від 02.11.2015р. 1980,00 грн.         без ПДВ</t>
  </si>
  <si>
    <t>Дог. №1585 від 10.06.2015р. 183,60 грн.         з ПДВ</t>
  </si>
  <si>
    <t>Дог. №22/09 від 22.09.2015р. 2799,92 грн.         з ПДВ</t>
  </si>
  <si>
    <t>Дог. №11224 від 07.09.2015р. 12,00 грн.           з ПДВ</t>
  </si>
  <si>
    <t>Дог. №22/09 від 22.09.2015р. 220,00 грн.             з ПДВ</t>
  </si>
  <si>
    <t>Дог. №15/06 від 15.06.2015р. 1792,57 грн.         з ПДВ</t>
  </si>
  <si>
    <t>Дог. №11/06 від 11.06.2015р. 3219,00 грн.         з ПДВ</t>
  </si>
  <si>
    <t>Дог. №11224 від 07.09.2015р. 258,06 грн.         з ПДВ</t>
  </si>
  <si>
    <t xml:space="preserve">Дог. №12035 від 18.09.2015р. 2622,40 грн.         з ПДВ </t>
  </si>
  <si>
    <t>Дог. №600 від 21.10.2015р. 12917,98 грн.         з ПДВ</t>
  </si>
  <si>
    <t>Дог. №1360 від 16.04.2015 р. 183,60 грн.         з ПДВ</t>
  </si>
  <si>
    <t>Дог. № 1287  від  18.05.2015р. 626,40 грн.   з ПДВ</t>
  </si>
  <si>
    <t>Дог. № 582 від 28.10.2015р.1042,80 грн.         з ПДВ</t>
  </si>
  <si>
    <t>Дог. №1585 від 10.06.2015р. 364,80 грн.         з ПДВ</t>
  </si>
  <si>
    <t>Дог. № 142 від 08.07.2015 року 24,62 грн.           без ПДВ</t>
  </si>
  <si>
    <t>Дог. №582 від 28.10.2015р. 364,80 грн.         з ПДВ</t>
  </si>
  <si>
    <t>Дог. №799 від 10.06.2015 року. 16830,00грн.      з ПДВ</t>
  </si>
  <si>
    <t xml:space="preserve">Дог. №11224 від 07.09.2015р. 94,28 грн.           з ПДВ </t>
  </si>
  <si>
    <t>Дог.№ 76 від 07.12.2015 р. 5610,00 грн.         з ПДВ</t>
  </si>
  <si>
    <t>54944,00 грн.</t>
  </si>
  <si>
    <t>19044,00 грн.</t>
  </si>
  <si>
    <t>Дог. №799 від 10.06.2015 року 1573,00 грн.         з ПДВ.</t>
  </si>
  <si>
    <t>Дог. № 1694 від 16.07.2015 року 936,26 грн.           без ПДВ</t>
  </si>
  <si>
    <t>Дог. №15-6-11 від 11.06.2015р. 621,00грн.             з ПДВ</t>
  </si>
  <si>
    <t>31371 грн.</t>
  </si>
  <si>
    <t>Послуги з поточного ремонту м’якої покрівлі виробничо-технічного корпусу ФТІНТ ім. Б.І. Вєркіна НАН України за адресою: пр-т Леніна, 47 в м. Харкові.                         Інвентарний номер: 10310101</t>
  </si>
  <si>
    <t>Послуги з поточного ремонту фасаду  виробничо-технічного корпусу ФТІНТ ім. Б.І. Вєркіна НАН України за адресою: пр-т Леніна, 47 в             м. Харкові.                          Інвентарний номер: 10310101</t>
  </si>
  <si>
    <t xml:space="preserve">Послуги з поточного ремонту кабельної лінії - КЛ 6 кВ выд ТП 849 (яч. №5) до ПС Павлове Поле» по території ФТІНТ за адресою: пр-т Леніна, 47 в м. Харкові </t>
  </si>
  <si>
    <t>6002,00 грн.</t>
  </si>
  <si>
    <t>Дог. №44 від 12.09.2015р. 6001,60 грн.       з ПДВ</t>
  </si>
  <si>
    <t xml:space="preserve">Послуги з поточного ремонту покрівлі будові (лабораторного корпусу) ФТІНТ ім. Б.І. Вєркіна НАН України за адресою: пр-т Леніна, 47 в м. Харкові                           Інвентарний номер: 10310002        </t>
  </si>
  <si>
    <t>44417,00 грн.</t>
  </si>
  <si>
    <t>58404,00 грн.</t>
  </si>
  <si>
    <t>РАЗОМ ЗА КЕКВ 2240</t>
  </si>
  <si>
    <t>1225264,00 грн.</t>
  </si>
  <si>
    <t>Код ДК 01.19.3</t>
  </si>
  <si>
    <t>Сировина рослинна, н.в.і.у.</t>
  </si>
  <si>
    <t>2281(2210)</t>
  </si>
  <si>
    <t>Код ДК 08.12.1</t>
  </si>
  <si>
    <t>Гравій і пісок</t>
  </si>
  <si>
    <t>Дог №154 від 12.10.2015року 8700,00 грн.         без ПДВ</t>
  </si>
  <si>
    <t>Код ДК 08.92.1</t>
  </si>
  <si>
    <t>Торф</t>
  </si>
  <si>
    <t>Дог №147 від 14.08.2015року 229,00 грн.         з ПДВ</t>
  </si>
  <si>
    <t>Код ДК 10.84.3</t>
  </si>
  <si>
    <t>63000 грн.</t>
  </si>
  <si>
    <t>Дог. № 86 від 19.11.2015 р. 63000,00 грн.       з ПДВ</t>
  </si>
  <si>
    <t>12524,00 грн.</t>
  </si>
  <si>
    <t>41000,00 грн.</t>
  </si>
  <si>
    <t>Код ДК 28.30.9</t>
  </si>
  <si>
    <t>Частини машин і устаткування для сільського господарства; роботи субпідрядні як частина виробництва машин для сільського та лісового господарства</t>
  </si>
  <si>
    <t>702,00 грн.</t>
  </si>
  <si>
    <t>Дог. № 3372 від 18.11.2015 р. 702,00 грн.          з ПДВ</t>
  </si>
  <si>
    <t>5573,00 грн.</t>
  </si>
  <si>
    <t>7120,00 грн.</t>
  </si>
  <si>
    <t>Дог № 15-11-18 від 18.11.2015 р. 176,00 грн.         без ПДВ</t>
  </si>
  <si>
    <t>Дог № 15-10-8 від 08.10.2015 року 3020,80 грн.         без ПДВ</t>
  </si>
  <si>
    <t>Сіль харчова</t>
  </si>
  <si>
    <t>Код ДК 13.92.2</t>
  </si>
  <si>
    <t>Вироби текстильні готові, інші</t>
  </si>
  <si>
    <t>3000,00 грн.</t>
  </si>
  <si>
    <t>Код ДК 13.93.1</t>
  </si>
  <si>
    <t>Килими та килимові покриви</t>
  </si>
  <si>
    <t>Код ДК 14.19.2</t>
  </si>
  <si>
    <t>Одяг дитячий, одяг інший та аксесуари  одягу інші, з текстильного полотна, крім трикотажних</t>
  </si>
  <si>
    <t>5000,00 грн.</t>
  </si>
  <si>
    <t>Код ДК 16.10.2</t>
  </si>
  <si>
    <t>Деревина у формі погонажу, профільного уздовж будь-яких країв або площин; шерсть деревна; борошно деревне; стружка чи тріска деревні</t>
  </si>
  <si>
    <t>Код ДК 17.12.2</t>
  </si>
  <si>
    <t>Серветки паперові туалетні, серветки для обличчя, рушники, скатертини-серветки, целюлоза вата й полотна з целюлозних волокон</t>
  </si>
  <si>
    <t>12000,00 грн.</t>
  </si>
  <si>
    <t>Код ДК 17.23.1</t>
  </si>
  <si>
    <t>Вироби канцелярські, паперові</t>
  </si>
  <si>
    <t>Дог.№65/3 від 25.03.2015 р. 5697,04 грн.       з ПДВ</t>
  </si>
  <si>
    <t>Дог.№336 від 12.05.2015 р. 1883,10 грн.       з ПДВ</t>
  </si>
  <si>
    <t>Дог.№20225 від 05.06.2015 р. 7500,00 грн.       з ПДВ</t>
  </si>
  <si>
    <t>Дог. № К-00000018 від 15.06.2015 р. 2870,64 грн.       з ПДВ</t>
  </si>
  <si>
    <t>Дог.№125 від 16.06.2015 р. 2548,44 грн.       з ПДВ</t>
  </si>
  <si>
    <t>Дог.№5258 від 06.07.2015 р. 6104,76 грн.       з ПДВ</t>
  </si>
  <si>
    <t>Дог.№142 від 08.07.2015 р. 203,41 грн.         з ПДВ</t>
  </si>
  <si>
    <t>Дог.№213 від 23.10.2015 р. 13010,00 грн.       з ПДВ</t>
  </si>
  <si>
    <t>Дог.№215 від 23.10.2015 р. 1004,01 грн.       з ПДВ</t>
  </si>
  <si>
    <t>Код ДК 19.20.2</t>
  </si>
  <si>
    <t>Паливо рідинне та газ; оливи мастильні</t>
  </si>
  <si>
    <t>Дог. № 14/2 від 02.02.2015 р. 16960,00 грн.          з ПДВ</t>
  </si>
  <si>
    <t>Дог. № 26/12 від 01.04.2015 р. 21500 грн.           з ПДВ</t>
  </si>
  <si>
    <t>Дог. № 26 від 26.05.2015 року 450,00 грн.         з ПДВ</t>
  </si>
  <si>
    <t>Дог. № 65/6 від 02.02.2015 р. 18500,00 грн.          з ПДВ</t>
  </si>
  <si>
    <t>Дог. № 112 від 13.08.2015 р. 6920,00 грн.          з ПДВ</t>
  </si>
  <si>
    <t>Дог. № 104/09 від 01.09.2015 р. 10800,00 грн.          з ПДВ</t>
  </si>
  <si>
    <t>Дог. № 104 від 13.08.2015 р. 165,00 грн.          з ПДВ</t>
  </si>
  <si>
    <t>Дог. № 109/09 від 04.09.2015 р. 3700,00 грн.          з ПДВ</t>
  </si>
  <si>
    <t>Дог. № 120/10 від 07.10.2015 р. 43407,00 грн.          з ПДВ</t>
  </si>
  <si>
    <t>Дог. № 134/п від 02.11.2015 р. 3840,00 грн.          з ПДВ</t>
  </si>
  <si>
    <t>Код ДК 20.11.1</t>
  </si>
  <si>
    <t>Гази промислові</t>
  </si>
  <si>
    <t>Код ДК 20.12.1</t>
  </si>
  <si>
    <t>Оксиди, пероксиди та гідроксиди</t>
  </si>
  <si>
    <t>Код ДК 20.13.2</t>
  </si>
  <si>
    <t>Елементи хімічні, н.в.і.у.; кислоти та сполуки неорганічні</t>
  </si>
  <si>
    <t>Код ДК 20.15.8</t>
  </si>
  <si>
    <t>Добрива рослинного чи тваринного походження</t>
  </si>
  <si>
    <t>Код ДК 20.16.5</t>
  </si>
  <si>
    <t xml:space="preserve">Пластмаси, інші, у первинних формах; смоли іонообмінні </t>
  </si>
  <si>
    <t>Код ДК 20.30.1</t>
  </si>
  <si>
    <t xml:space="preserve">Фарби та лаки на основі полімерів </t>
  </si>
  <si>
    <t>Код ДК 20.30.2</t>
  </si>
  <si>
    <t xml:space="preserve">Фарби та лаки, інші; сикативи готові </t>
  </si>
  <si>
    <t>Дог. № К-00000018 від 15.06.2015 р. 46,08 грн.           з ПДВ</t>
  </si>
  <si>
    <t>Дог.№215 від 23.10.2015 р. 753,35 грн.         з ПДВ</t>
  </si>
  <si>
    <t>Код ДК 20.41.3</t>
  </si>
  <si>
    <t>Дог.№1496/7 від 11.12.2015 р. 6000,00 грн. без ПДВ</t>
  </si>
  <si>
    <t>5802,00 грн.</t>
  </si>
  <si>
    <t>60251,00 грн.</t>
  </si>
  <si>
    <t xml:space="preserve">Мило, засоби мийні та засоби для чищення </t>
  </si>
  <si>
    <t>Код ДК 20.41.4</t>
  </si>
  <si>
    <t xml:space="preserve">Препарати пахучі, воски та інші засоби для чищення </t>
  </si>
  <si>
    <t>Код ДК 20.52.1</t>
  </si>
  <si>
    <t>Клеї</t>
  </si>
  <si>
    <t>3360,00 грн.</t>
  </si>
  <si>
    <t>Дог. № К-00000018 від 15.06.2015 р. 19,98 грн.           з ПДВ</t>
  </si>
  <si>
    <t>Дог. № 104 від 13.08.2015 р. 20,00 грн.           з ПДВ</t>
  </si>
  <si>
    <t>Код ДК 20.59.1</t>
  </si>
  <si>
    <t>Фотопластинки й фотоплівки, плівка для миттєвого друку; фотохімікати та фотографічні незмішані речовини</t>
  </si>
  <si>
    <t>Код ДК 20.59.4</t>
  </si>
  <si>
    <t>Засоби змащувальні; присадки; речовини антифризні готові</t>
  </si>
  <si>
    <t>Код ДК 20.59.5</t>
  </si>
  <si>
    <t>Продукти хімічні різноманітні</t>
  </si>
  <si>
    <t>Код ДК 21.20.2</t>
  </si>
  <si>
    <t>Препарати фармацевтичні, інші</t>
  </si>
  <si>
    <t>5200.00 грн.</t>
  </si>
  <si>
    <t>Код ДК 22.11..1</t>
  </si>
  <si>
    <t>Шини та камери гумові нові</t>
  </si>
  <si>
    <t>Код ДК 22.19.2</t>
  </si>
  <si>
    <t>Гума не вулканізована та вироби з неї; гума вулканізована, крім твердої гуми, гуми у формі ниток, кордів, пластин, листів, стрічок, стрижнів і профілів</t>
  </si>
  <si>
    <t>Код ДК 22.19.3</t>
  </si>
  <si>
    <t>Труби, трубки та шланги з вулканізованої гумми</t>
  </si>
  <si>
    <t>Код ДК 22.19.6</t>
  </si>
  <si>
    <t>Предмети одягу та аксесуари одягу з вулканізованої гуми (крім виготовлених з твердої гуми)</t>
  </si>
  <si>
    <t>5500,00 грн.</t>
  </si>
  <si>
    <t>Код ДК 22.19.7</t>
  </si>
  <si>
    <t xml:space="preserve">Вироби з вулканізованої гуми, н. в. і. у.; гума тверда; вироби з твердої гуми </t>
  </si>
  <si>
    <t>3500,00 грн.</t>
  </si>
  <si>
    <t>Код ДК 22.21.2</t>
  </si>
  <si>
    <t>Труби, трубки, шланги та фітинги до них пластмасові</t>
  </si>
  <si>
    <t>Дог. №1360 від 16.04.2015 р. 353,28 грн.             з ПДВ</t>
  </si>
  <si>
    <t>Код ДК 22.21.4</t>
  </si>
  <si>
    <t>Пластини, листи, плівка, фольга та стрічки з пластмас, інші</t>
  </si>
  <si>
    <t>1390,00 грн.</t>
  </si>
  <si>
    <t>Дог. № 104 від 13.08.2015 р. 200,00 грн.          з ПДВ</t>
  </si>
  <si>
    <t>Код ДК 22.22.1</t>
  </si>
  <si>
    <t xml:space="preserve">Тара пластмасова </t>
  </si>
  <si>
    <t>Код ДК 22.23.1</t>
  </si>
  <si>
    <t xml:space="preserve">Вироби пластмасові для будівництва; лінолеум і покриви на підлогу, тверді, не пластикові </t>
  </si>
  <si>
    <t xml:space="preserve">Дог.№1303/2 від 18.03.2015 р. 11000,40 грн. без ПДВ </t>
  </si>
  <si>
    <t>(Нова редакція - від 16.12.2015 р.)</t>
  </si>
  <si>
    <t>Затверджено рішенням комітету з конкурсних торгів від 16.12.2015 р.</t>
  </si>
  <si>
    <t>Код ДК 22.29.2</t>
  </si>
  <si>
    <t>Вироби пластмасові інші, н. в. і. у.</t>
  </si>
  <si>
    <t>18205,00 грн.</t>
  </si>
  <si>
    <t>Дог.№336 від 12.05.2015 р. 534,00 грн.         з ПДВ</t>
  </si>
  <si>
    <t>Дог. № К-00000018 від 15.06.2015 р. 434,94 грн.           з ПДВ</t>
  </si>
  <si>
    <t>Дог.№125 від 16.06.2015 р. 421,08 грн.         з ПДВ</t>
  </si>
  <si>
    <t>Дог.№5258 від 06.07.2015 р. 218,58 грн.         з ПДВ</t>
  </si>
  <si>
    <t>Дог.№213 від 23.10.2015 р. 2510,13 грн.       з ПДВ</t>
  </si>
  <si>
    <t>Дог.№215 від 23.10.2015 р. 2547,01 грн.         з ПДВ</t>
  </si>
  <si>
    <t>Код ДК 23.19.1</t>
  </si>
  <si>
    <t>8700 грн.</t>
  </si>
  <si>
    <t>560,00 грн.</t>
  </si>
  <si>
    <t>500,00 грн.</t>
  </si>
  <si>
    <t>300,00 грн.</t>
  </si>
  <si>
    <t>5862,00 грн.</t>
  </si>
  <si>
    <t>4400,00 грн.</t>
  </si>
  <si>
    <t>2656,00 грн.</t>
  </si>
  <si>
    <t>23478,00 грн.</t>
  </si>
  <si>
    <t>5090,00 грн.</t>
  </si>
  <si>
    <t>1300,00 грн.</t>
  </si>
  <si>
    <t>240,00 грн.</t>
  </si>
  <si>
    <t>21642,00 грн.</t>
  </si>
  <si>
    <t>33855,00 грн.</t>
  </si>
  <si>
    <t>12394,00 грн.</t>
  </si>
  <si>
    <t>860,00 грн.</t>
  </si>
  <si>
    <t>1137 грн.</t>
  </si>
  <si>
    <t>500 грн.</t>
  </si>
  <si>
    <t>16968,00 грн.</t>
  </si>
  <si>
    <t>1600,00 грн.</t>
  </si>
  <si>
    <t>4121,00 грн.</t>
  </si>
  <si>
    <t>1113517,00 грн.</t>
  </si>
  <si>
    <t>Скло напівоброблене, інше</t>
  </si>
  <si>
    <t>Код ДК 23.20.1</t>
  </si>
  <si>
    <t>Вироби вогнетривкі</t>
  </si>
  <si>
    <t>Код ДК 23.32.1</t>
  </si>
  <si>
    <t>Цегла, черепиця та будівельні вироби з випаленої глини</t>
  </si>
  <si>
    <t>Код ДК 23.51.1</t>
  </si>
  <si>
    <t>Цемент</t>
  </si>
  <si>
    <t>Код ДК 23.52.1</t>
  </si>
  <si>
    <t xml:space="preserve">Вапно негашене, гашене та гідравлічне </t>
  </si>
  <si>
    <t>Код ДК 23.52.2</t>
  </si>
  <si>
    <t>Гіпс</t>
  </si>
  <si>
    <t>Код ДК 23.91.1</t>
  </si>
  <si>
    <t>Вироби абразивні</t>
  </si>
  <si>
    <t>Код ДК 23.99.1</t>
  </si>
  <si>
    <t xml:space="preserve">Вироби мінеральні неметалеві, інші, н. в. і. у. </t>
  </si>
  <si>
    <t>25789,00 грн.</t>
  </si>
  <si>
    <t>Дог. № 360 від 20.05. 2015 р. 17622,00 грн.     з ПДВ</t>
  </si>
  <si>
    <t>Код ДК 24.10.6</t>
  </si>
  <si>
    <t>Бруски та прутки гарячого оброблення, із сталі</t>
  </si>
  <si>
    <t>Код ДК 24.20.3</t>
  </si>
  <si>
    <t>Труби та трубки зовнішнього діаметра не більше ніж 406,4 мм, зі сталі, інші</t>
  </si>
  <si>
    <t>Код ДК 24.20.4</t>
  </si>
  <si>
    <t>Послуги з поточного ремонту мереж зовнішнього освітлення по території ФТІНТ за адресою: пр-т Леніна, 47 в м. Харкові                     Інвентарний номер: 10690174</t>
  </si>
  <si>
    <t>2514,00 грн.</t>
  </si>
  <si>
    <t>Фітинги до труб чи трубок зі сталі, не литі</t>
  </si>
  <si>
    <t>Код ДК 24.43.1</t>
  </si>
  <si>
    <t>Свинець, цинк і олово необроблені</t>
  </si>
  <si>
    <t>Код ДК 25.11.2</t>
  </si>
  <si>
    <t>Вироби конструкційні металеві та їхні частини</t>
  </si>
  <si>
    <t>Код ДК 25.71.1</t>
  </si>
  <si>
    <t>Вироби ножові та столові прибори</t>
  </si>
  <si>
    <t>3710,00 грн.</t>
  </si>
  <si>
    <t>Дог.№5258 від 06.07.2015 р. 94,49 грн.            з ПДВ</t>
  </si>
  <si>
    <t>Код ДК 25.72.1</t>
  </si>
  <si>
    <t>Замки та завіси</t>
  </si>
  <si>
    <t>6872,00 грн.</t>
  </si>
  <si>
    <t>Код ДК 25.73.1</t>
  </si>
  <si>
    <t xml:space="preserve">Інструменти ручні для використання в сільському господарстві, садівництві чи лісовому господарстві </t>
  </si>
  <si>
    <t>Код ДК 25.73.3</t>
  </si>
  <si>
    <t>Інструменти ручні, інші</t>
  </si>
  <si>
    <t>Дог. № 104 від 13.08.2015 р. 531,00 грн.          з ПДВ</t>
  </si>
  <si>
    <t>Код ДК 25.73.4</t>
  </si>
  <si>
    <t xml:space="preserve">Деталі змінні до ручних інструментів з механічним урухомлювачем/приводом чи без нього, або до верстатів </t>
  </si>
  <si>
    <t>10401,00 грн.</t>
  </si>
  <si>
    <t>Дог. № 104 від 13.08.2015 р. 226,00 грн.          з ПДВ</t>
  </si>
  <si>
    <t>Код ДК 25.93.1</t>
  </si>
  <si>
    <t>Вироби з дроту, ланцюги та пружини</t>
  </si>
  <si>
    <t>5510,00 грн.</t>
  </si>
  <si>
    <t>Дог.№213 від 23.10.2015 р. 119,52 грн.         з ПДВ</t>
  </si>
  <si>
    <t>Код ДК 25.94.1</t>
  </si>
  <si>
    <t>Вироби кріпильні та ґвинтонарізні</t>
  </si>
  <si>
    <t>5211,00 грн.</t>
  </si>
  <si>
    <t>Код ДК 25.99.1</t>
  </si>
  <si>
    <t>Код ДК 25.99.2</t>
  </si>
  <si>
    <t>Вироби з недорогоцінних металів, інші</t>
  </si>
  <si>
    <t>Дог.№213 від 23.10.2015 р. 1071,60 грн.       з ПДВ</t>
  </si>
  <si>
    <t>Код ДК 26.11.2</t>
  </si>
  <si>
    <t>Діоди та транзистори</t>
  </si>
  <si>
    <t>1310,00 грн.</t>
  </si>
  <si>
    <t>Дог.№160415-1 від 16.04.2015 р. 189,60 грн.            з ПДВ</t>
  </si>
  <si>
    <t>Код ДК 26.11.3</t>
  </si>
  <si>
    <t>Схеми електронні інтегровані</t>
  </si>
  <si>
    <t>14500,00 грн.</t>
  </si>
  <si>
    <t>Дог.№160415-1 від 16.04.2015 р. 2832,72 грн.            з ПДВ</t>
  </si>
  <si>
    <t>Дог.№100615-01 від 10.06.2015 р. 3568,00 грн.            з ПДВ</t>
  </si>
  <si>
    <t>Код ДК 26.12.1</t>
  </si>
  <si>
    <t>4148,80 грн.з ПДВ</t>
  </si>
  <si>
    <t>4227,52 грн.з ПДВ</t>
  </si>
  <si>
    <t>3963,24 грн.з ПДВ</t>
  </si>
  <si>
    <t>78,72 грн.з ПДВ</t>
  </si>
  <si>
    <t>Дог. № ВК-8712-01/15 від 28.02.2015р.2400грн. з ПДВ</t>
  </si>
  <si>
    <t>Дог. № 7/5839 від 26.05.2015 2556,00 грн.         з ПДВ</t>
  </si>
  <si>
    <t>Дог. № 15318 від 04.06.2015 295,00 грн.         без ПДВ</t>
  </si>
  <si>
    <t>Дог. № 057496 від 07.09.2015р. 4099,68 грн.           з ПДВ</t>
  </si>
  <si>
    <t>Дог. № 39 від 03.02.2015 р. 420,00 грн.      без ПДВ</t>
  </si>
  <si>
    <t xml:space="preserve">Дог. 11/4 від 21.05.2015 року 3306,00 грн.        з ПДВ </t>
  </si>
  <si>
    <t xml:space="preserve">Дог. 10/4 від 24.05.2015 року 3306,00 грн.       з ПДВ </t>
  </si>
  <si>
    <t>Дог. 207 від 20.04.2015 року 2496,52 грн. з ПДВ</t>
  </si>
  <si>
    <t>Дог. №499 від 08.07.2015 року 1903 грн.</t>
  </si>
  <si>
    <t>Дог. №38 від 20.01.2015 р. 2777,52грн.     без ПДВ</t>
  </si>
  <si>
    <t>Дог. № 69-15 від 20.04.2015 року. 5000,00 грн.   без ПДВ</t>
  </si>
  <si>
    <t>Дог. 270715-1 від 27.07.15 р. 1500,00 грн. з ПДВ</t>
  </si>
  <si>
    <t>Дог. №002120 від 02.07.2015р. 59086,68 грн.     з ПДВ</t>
  </si>
  <si>
    <t>59087,00 грн.</t>
  </si>
  <si>
    <t>Дог. №002121 від 02.07.2015р. 25570,80 грн.     з ПДВ</t>
  </si>
  <si>
    <t>Дог. №002450 від 05.10.2015р. 44416,80 грн.       з ПДВ</t>
  </si>
  <si>
    <t>Дог. №002451 від 05.10.2015р. 58404,00 грн.       з ПДВ</t>
  </si>
  <si>
    <t>смета</t>
  </si>
  <si>
    <t>Дог №18 від 11.08.2015року 333,00 грн.         з ПДВ</t>
  </si>
  <si>
    <t>Дог. №1585 від 10.06.2015р. 2553,60 грн.        з ПДВ</t>
  </si>
  <si>
    <t>Дог. №582 від 28.10.2015р. 360,00 грн.         з ПДВ</t>
  </si>
  <si>
    <t>Дог. №582 від 28.10.2015р.1884,00 грн.         з ПДВ</t>
  </si>
  <si>
    <t>Дог. №582 від 28.10.2015р. 1710,00 грн.         з ПДВ</t>
  </si>
  <si>
    <t>Дог. №582 від 28.10.2015р. 436,20 грн.         з ПДВ</t>
  </si>
  <si>
    <t>Дог. №15-6-11 від 10.06.2015р.138,00 грн.      без ПДВ</t>
  </si>
  <si>
    <t xml:space="preserve">Дог.№20225 від 01.09.2015 р. 7000,00 грн.         з ПДВ </t>
  </si>
  <si>
    <t>Дог.№210 від 23.10.2015 р. 142,00 грн.         з ПДВ</t>
  </si>
  <si>
    <t xml:space="preserve">Дог № 17/8 від 05.08.2015 року 10988,48 грн.      з ПДВ </t>
  </si>
  <si>
    <t>Дог. № 1/17 від 01.07.2015 року 5111,64 грн.         з ПДВ</t>
  </si>
  <si>
    <t>Дог. № 1287  від  18.05.2015р. 1053,60 грн.           з ПДВ</t>
  </si>
  <si>
    <t xml:space="preserve">Дог. № 1694 від 16.07.2015 року 32,00 грн.           без ПДВ </t>
  </si>
  <si>
    <t>Дог. № 1287  від  18.05.2015р. 873,60 грн.           з ПДВ</t>
  </si>
  <si>
    <t>Дог. №1585 від 10.06.2015р.2184,00 грн.        з ПДВ</t>
  </si>
  <si>
    <t>Дог № 112 від 08.12.2015 р. 265,00 грн., без ПДВ</t>
  </si>
  <si>
    <t>Код ДК 14.12.1</t>
  </si>
  <si>
    <t>Одяг робочий, чоловічий</t>
  </si>
  <si>
    <t>20541,00 грн.</t>
  </si>
  <si>
    <t>Код ДК 14.12.2</t>
  </si>
  <si>
    <t>Одяг робочий, жіночий</t>
  </si>
  <si>
    <t>Дог. № 10/12 від 08.12.2015р. 20540,28 грн.         з ПДВ</t>
  </si>
  <si>
    <t>Дог. № 10/12 від 08.12.2015р. 1375,92 грн.         з ПДВ</t>
  </si>
  <si>
    <t>1376,00 грн.</t>
  </si>
  <si>
    <t>Код ДК 15.20.3</t>
  </si>
  <si>
    <t>Взуття захисне та іншої призначеності, н. в. і. у.</t>
  </si>
  <si>
    <t>7595,00 грн.</t>
  </si>
  <si>
    <t>Дог. № 10/12 від 08.12.2015р. 7594,50 грн.         з ПДВ</t>
  </si>
  <si>
    <t>Код ДК 32.50.2</t>
  </si>
  <si>
    <t>Інструменти та прилади терапевтичні; приладдя, протези та ортопедичні пристрої</t>
  </si>
  <si>
    <t>242,00 грн.</t>
  </si>
  <si>
    <t>Дог. № 10/12 від 08.12.2015р. 241,20 грн.         з ПДВ</t>
  </si>
  <si>
    <t>320,00 грн.</t>
  </si>
  <si>
    <t>5355,00 грн.</t>
  </si>
  <si>
    <t>2368,00 грн.</t>
  </si>
  <si>
    <t>2463,00 грн.</t>
  </si>
  <si>
    <t>996,00 грн.</t>
  </si>
  <si>
    <t>890,00 грн.</t>
  </si>
  <si>
    <t>3745,00 грн.</t>
  </si>
  <si>
    <t>Дог № 15-12-1 від 01.12.2015 р. 275,60 грн.        без ПДВ</t>
  </si>
  <si>
    <t>Дог. №582 від 28.10.2015р.2184,00 грн.         з ПДВ</t>
  </si>
  <si>
    <t>Дог. №1585 від 10.06.2015р.646,20 грн.         з ПДВ</t>
  </si>
  <si>
    <t>Дог. №11/06 від 11.06.2015р.31440,00 грн.         з ПДВ</t>
  </si>
  <si>
    <t>Дог. № 1287  від  18.05.2015р. 96,00 грн.           з ПДВ</t>
  </si>
  <si>
    <t>Дог. № 1694 від 16.07.2015 року 209,75 грн.           без ПДВ</t>
  </si>
  <si>
    <t>Дог. № 1287  від  18.05.2015р. 891,00 грн.           з ПДВ</t>
  </si>
  <si>
    <t xml:space="preserve">Дог. № 104 від 13.08.2015 р. 66,00 грн.           з ПДВ </t>
  </si>
  <si>
    <t>Дог.№213 від 23.10.2015 р. 35,90 грн.           з ПДВ</t>
  </si>
  <si>
    <t>Дог.№215 від 23.10.2015 р. 6,90 грн. з ПДВ</t>
  </si>
  <si>
    <t>Дог. №15-6-10 від 10.06.2015р.621,00 грн.      без ПДВ</t>
  </si>
  <si>
    <t>Дог. №9765  від 06.08.2015 року.1844,20 грн.           з ПДВ</t>
  </si>
  <si>
    <t>Дог. №582 від 28.10.2015р.1098,00 грн.         з ПДВ</t>
  </si>
  <si>
    <t>Дог. № 1694 від 16.07.2015 року394,50 грн.           без ПДВ</t>
  </si>
  <si>
    <t>Дог. №26  від  26.05.2015р. 558,00 грн.           з ПДВ</t>
  </si>
  <si>
    <t>Дог. №9765  від 06.08.2015 року.582,50 грн.           з ПДВ</t>
  </si>
  <si>
    <t>Дог.№215 від 23.10.2015 р. 58,75 грн. з ПДВ</t>
  </si>
  <si>
    <t>Дог. №11224 від 07.09.2015р.51,00 грн.           з ПДВ</t>
  </si>
  <si>
    <t>Дог. №1287  від  18.05.2015р. 112,80 грн.           з ПДВ</t>
  </si>
  <si>
    <t>Дог. №1585 від 10.06.2015р.282,00 грн.         з ПДВ</t>
  </si>
  <si>
    <t>Дог. №11224 від 07.09.2015р.605,90 грн.         з ПДВ</t>
  </si>
  <si>
    <t>Дог. №582 від 28.10.2015р.282,00 грн.         з ПДВ</t>
  </si>
  <si>
    <t>Дог.№215 від 23.10.2015 р. 818,00 грн. з ПДВ</t>
  </si>
  <si>
    <t>Дог. №6519 від 09.06.2015р.1896,24 грн.      без ПДВ</t>
  </si>
  <si>
    <t>Дог. №891від 09.06.2015р.230,00 грн.      без ПДВ</t>
  </si>
  <si>
    <t>Дог. № 58/06-И від 15.06.2015р.3423,99 грн.           з ПДВ</t>
  </si>
  <si>
    <t>Дог № 67 від 15.06.2015 року2013,48 грн.       з ПДВ</t>
  </si>
  <si>
    <t>Дог № 15-10-8 від 08.10.2015 року605,00 грн.         без ПДВ</t>
  </si>
  <si>
    <t>Код ДК 25.73.2</t>
  </si>
  <si>
    <t>200,00 грн.</t>
  </si>
  <si>
    <t>Пилки ручні, полотна до будь-яких пилок</t>
  </si>
  <si>
    <t>Дог. № 36-15 від 25.11.2015 р. 8310,96 грн.          з ПДВ</t>
  </si>
  <si>
    <t>Дог. № 36-15 від 25.11.2015 р. 1260,00 грн.          з ПДВ</t>
  </si>
  <si>
    <t>Дог. № 36-15 від 25.11.2015 р. 167,40 грн.          з ПДВ</t>
  </si>
  <si>
    <t>Дог. № 36-15 від 25.11.2015 р. 14404,08 грн.          з ПДВ</t>
  </si>
  <si>
    <t>16076,00 грн.</t>
  </si>
  <si>
    <t>Дог. № 36-15 від 25.11.2015 р. 3120,00 грн.          з ПДВ</t>
  </si>
  <si>
    <t>8400,00 грн.</t>
  </si>
  <si>
    <t>Дог. № 36-15 від 25.11.2015 р. 327,60 грн.          з ПДВ</t>
  </si>
  <si>
    <t>Дог. № 36-15 від 25.11.2015 р. 806,40 грн.          з ПДВ</t>
  </si>
  <si>
    <t>Код ДК 27.40.2</t>
  </si>
  <si>
    <t>Лампи та світильники</t>
  </si>
  <si>
    <t>1592 грн.</t>
  </si>
  <si>
    <t>Дог. № 36-15 від 25.11.2015 р. 1591,20 грн.          з ПДВ</t>
  </si>
  <si>
    <t>Код ДК 32.50.4</t>
  </si>
  <si>
    <t>Окуляри, лінзи та їхні частини</t>
  </si>
  <si>
    <t>120,00 грн.</t>
  </si>
  <si>
    <t>Дог. №565 від 13.08.2015р.900,00 грн.  з ПДВ</t>
  </si>
  <si>
    <t>Дог. №582 від 28.10.2015р.1152,00 грн. з ПДВ</t>
  </si>
  <si>
    <t>Дог. №1585 від 10.06.2015р.1311,00 грн.  з ПДВ</t>
  </si>
  <si>
    <t>Дог. № 36-15 від 25.11.2015 р. 93,60 грн.          з ПДВ</t>
  </si>
  <si>
    <t>Дог. № 36-15 від 25.11.2015 р. 115,20 грн.          з ПДВ</t>
  </si>
  <si>
    <t>Дог. № 15-11-24 від 24.11.2015 р. 2266,51 грн.    без ПДВ</t>
  </si>
  <si>
    <t>Дог. № 15-11-24 від 24.11.2015 р. 4112,00 грн.    без ПДВ</t>
  </si>
  <si>
    <t>Дог № 15-10-9 від 08.10.2015 року7256,00 грн.         без ПДВ</t>
  </si>
  <si>
    <t>Дог № 15-10-10 від 08.10.2015 року2451,00 грн.         без ПДВ</t>
  </si>
  <si>
    <t>Дог. №891від 09.06.2015р.368,00 грн.      без ПДВ</t>
  </si>
  <si>
    <t>Дог. №891від 09.06.2015р.1290,00 грн.      без ПДВ</t>
  </si>
  <si>
    <t>Дог. № 1694 від 16.07.2015 року724,50 грн.           без ПДВ</t>
  </si>
  <si>
    <t>Дог. № 137/7 від 13.07.2015 року2400,00 грн.           без ПДВ</t>
  </si>
  <si>
    <t>Дог № 15-10-8 від 08.10.2015 року3240,60 грн.         без ПДВ</t>
  </si>
  <si>
    <t>Дог. №58/06-И від 16.04.2015 р.576,00 грн.            з ПДВ</t>
  </si>
  <si>
    <t>Дог. №1360 від 16.04.2015 р.995,05 грн.            з ПДВ</t>
  </si>
  <si>
    <t>Дог. №591 від 08.07.2015 р.1513,20 грн.          з ПДВ</t>
  </si>
  <si>
    <t>Дог. №1360 від 16.04.2015 р.612,00 грн.            з ПДВ</t>
  </si>
  <si>
    <t>Дог. №15/04-03п                  від 23.05.2015 р.5314,56 грн.            з ПДВ</t>
  </si>
  <si>
    <t>Дог. №591 від 08.07.2015 р.255,60 грн.          з ПДВ</t>
  </si>
  <si>
    <t>Дог. 15/07-04п від 23.07.2015 р.5304,00 грн.       з ПДВ</t>
  </si>
  <si>
    <t>Дог № 15-10-8 від 08.10.2015 року4675,00 грн.         без ПДВ</t>
  </si>
  <si>
    <t>Дог № 15-10-8 від 08.10.2015 року1684,00 грн.         без ПДВ</t>
  </si>
  <si>
    <t>Дог. №1360 від 16.04.2015 р.4808,80 грн.         з ПДВ</t>
  </si>
  <si>
    <t>Дог № 15-10-8 від 08.10.2015 року100,00 грн.         без ПДВ</t>
  </si>
  <si>
    <t>Дог. № 1694 від 16.07.2015 року3676,69 грн.           без ПДВ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</si>
</sst>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.00;[Red]0.00"/>
    <numFmt numFmtId="173" formatCode="0;[Red]0"/>
    <numFmt numFmtId="174" formatCode="#,##0.00;[Red]#,##0.00"/>
    <numFmt numFmtId="175" formatCode="#,##0.00&quot;р.&quot;"/>
    <numFmt numFmtId="176" formatCode="#,##0.00&quot;р.&quot;;[Red]#,##0.00&quot;р.&quot;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d/m;@"/>
    <numFmt numFmtId="199" formatCode="[$-FC19]d\ mmmm\ yyyy\ &quot;г.&quot;"/>
    <numFmt numFmtId="200" formatCode="000000"/>
    <numFmt numFmtId="201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.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1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6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2" borderId="7" applyNumberFormat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1" borderId="8" applyNumberFormat="0" applyFont="0" applyAlignment="0" applyProtection="0"/>
    <xf numFmtId="0" fontId="4" fillId="6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33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/>
    </xf>
    <xf numFmtId="0" fontId="1" fillId="24" borderId="34" xfId="0" applyFont="1" applyFill="1" applyBorder="1" applyAlignment="1">
      <alignment horizontal="center" vertical="center"/>
    </xf>
    <xf numFmtId="0" fontId="8" fillId="25" borderId="35" xfId="0" applyFont="1" applyFill="1" applyBorder="1" applyAlignment="1">
      <alignment vertical="top" wrapText="1"/>
    </xf>
    <xf numFmtId="0" fontId="11" fillId="25" borderId="35" xfId="0" applyFont="1" applyFill="1" applyBorder="1" applyAlignment="1">
      <alignment wrapText="1"/>
    </xf>
    <xf numFmtId="0" fontId="8" fillId="25" borderId="35" xfId="0" applyFont="1" applyFill="1" applyBorder="1" applyAlignment="1">
      <alignment horizontal="center" vertical="top" wrapText="1"/>
    </xf>
    <xf numFmtId="0" fontId="8" fillId="25" borderId="35" xfId="0" applyFont="1" applyFill="1" applyBorder="1" applyAlignment="1">
      <alignment horizontal="center" wrapText="1"/>
    </xf>
    <xf numFmtId="0" fontId="8" fillId="25" borderId="36" xfId="0" applyFont="1" applyFill="1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24" borderId="3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25" borderId="36" xfId="0" applyFont="1" applyFill="1" applyBorder="1" applyAlignment="1">
      <alignment wrapText="1"/>
    </xf>
    <xf numFmtId="0" fontId="8" fillId="25" borderId="36" xfId="0" applyFont="1" applyFill="1" applyBorder="1" applyAlignment="1">
      <alignment horizontal="center" vertical="top" wrapText="1"/>
    </xf>
    <xf numFmtId="0" fontId="8" fillId="25" borderId="36" xfId="0" applyFont="1" applyFill="1" applyBorder="1" applyAlignment="1">
      <alignment vertical="top" wrapText="1"/>
    </xf>
    <xf numFmtId="0" fontId="1" fillId="24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29" xfId="0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8" fillId="0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center" wrapText="1"/>
    </xf>
    <xf numFmtId="0" fontId="1" fillId="24" borderId="1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49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0" fillId="0" borderId="45" xfId="0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24" borderId="5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" fillId="24" borderId="55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/>
    </xf>
    <xf numFmtId="0" fontId="1" fillId="5" borderId="32" xfId="0" applyFont="1" applyFill="1" applyBorder="1" applyAlignment="1">
      <alignment/>
    </xf>
    <xf numFmtId="0" fontId="1" fillId="5" borderId="31" xfId="0" applyFont="1" applyFill="1" applyBorder="1" applyAlignment="1">
      <alignment/>
    </xf>
    <xf numFmtId="0" fontId="11" fillId="5" borderId="35" xfId="0" applyFont="1" applyFill="1" applyBorder="1" applyAlignment="1">
      <alignment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/>
    </xf>
    <xf numFmtId="0" fontId="35" fillId="5" borderId="0" xfId="0" applyFont="1" applyFill="1" applyBorder="1" applyAlignment="1">
      <alignment/>
    </xf>
    <xf numFmtId="0" fontId="11" fillId="5" borderId="25" xfId="0" applyFont="1" applyFill="1" applyBorder="1" applyAlignment="1">
      <alignment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/>
    </xf>
    <xf numFmtId="0" fontId="12" fillId="0" borderId="25" xfId="0" applyFont="1" applyFill="1" applyBorder="1" applyAlignment="1">
      <alignment vertical="center" wrapText="1"/>
    </xf>
    <xf numFmtId="0" fontId="1" fillId="24" borderId="16" xfId="0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1" fillId="25" borderId="25" xfId="0" applyFont="1" applyFill="1" applyBorder="1" applyAlignment="1">
      <alignment wrapText="1"/>
    </xf>
    <xf numFmtId="0" fontId="8" fillId="25" borderId="25" xfId="0" applyFont="1" applyFill="1" applyBorder="1" applyAlignment="1">
      <alignment horizontal="center" vertical="top" wrapText="1"/>
    </xf>
    <xf numFmtId="0" fontId="8" fillId="25" borderId="25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vertical="center" wrapText="1"/>
    </xf>
    <xf numFmtId="201" fontId="1" fillId="24" borderId="4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34" fillId="0" borderId="49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201" fontId="0" fillId="0" borderId="45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1" fillId="5" borderId="58" xfId="0" applyFont="1" applyFill="1" applyBorder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12" fillId="0" borderId="36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vertical="center" wrapText="1"/>
    </xf>
    <xf numFmtId="0" fontId="0" fillId="0" borderId="39" xfId="0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top" wrapText="1"/>
    </xf>
    <xf numFmtId="0" fontId="8" fillId="10" borderId="26" xfId="0" applyFont="1" applyFill="1" applyBorder="1" applyAlignment="1">
      <alignment vertical="top" wrapText="1"/>
    </xf>
    <xf numFmtId="0" fontId="8" fillId="10" borderId="26" xfId="0" applyFont="1" applyFill="1" applyBorder="1" applyAlignment="1">
      <alignment horizontal="center" vertical="top" wrapText="1"/>
    </xf>
    <xf numFmtId="0" fontId="8" fillId="10" borderId="35" xfId="0" applyFont="1" applyFill="1" applyBorder="1" applyAlignment="1">
      <alignment horizontal="center" vertical="top" wrapText="1"/>
    </xf>
    <xf numFmtId="0" fontId="8" fillId="10" borderId="44" xfId="0" applyFont="1" applyFill="1" applyBorder="1" applyAlignment="1">
      <alignment horizontal="center" wrapText="1"/>
    </xf>
    <xf numFmtId="0" fontId="8" fillId="10" borderId="44" xfId="0" applyFont="1" applyFill="1" applyBorder="1" applyAlignment="1">
      <alignment vertical="top" wrapText="1"/>
    </xf>
    <xf numFmtId="0" fontId="8" fillId="10" borderId="44" xfId="0" applyFont="1" applyFill="1" applyBorder="1" applyAlignment="1">
      <alignment horizontal="center" vertical="top" wrapText="1"/>
    </xf>
    <xf numFmtId="0" fontId="9" fillId="10" borderId="26" xfId="0" applyFont="1" applyFill="1" applyBorder="1" applyAlignment="1">
      <alignment horizontal="center" vertical="top" wrapText="1"/>
    </xf>
    <xf numFmtId="0" fontId="9" fillId="10" borderId="26" xfId="0" applyFont="1" applyFill="1" applyBorder="1" applyAlignment="1">
      <alignment vertical="top" wrapText="1"/>
    </xf>
    <xf numFmtId="0" fontId="0" fillId="10" borderId="39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9" fillId="10" borderId="13" xfId="0" applyFont="1" applyFill="1" applyBorder="1" applyAlignment="1">
      <alignment vertical="top" wrapText="1"/>
    </xf>
    <xf numFmtId="0" fontId="9" fillId="10" borderId="44" xfId="0" applyFont="1" applyFill="1" applyBorder="1" applyAlignment="1">
      <alignment vertical="top" wrapText="1"/>
    </xf>
    <xf numFmtId="0" fontId="9" fillId="10" borderId="10" xfId="0" applyFont="1" applyFill="1" applyBorder="1" applyAlignment="1">
      <alignment vertical="top" wrapText="1"/>
    </xf>
    <xf numFmtId="0" fontId="1" fillId="10" borderId="30" xfId="0" applyFont="1" applyFill="1" applyBorder="1" applyAlignment="1">
      <alignment horizontal="center" vertical="center"/>
    </xf>
    <xf numFmtId="0" fontId="0" fillId="10" borderId="57" xfId="0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top" wrapText="1"/>
    </xf>
    <xf numFmtId="0" fontId="9" fillId="10" borderId="44" xfId="0" applyFont="1" applyFill="1" applyBorder="1" applyAlignment="1">
      <alignment horizontal="center" vertical="top" wrapText="1"/>
    </xf>
    <xf numFmtId="0" fontId="9" fillId="10" borderId="13" xfId="0" applyFont="1" applyFill="1" applyBorder="1" applyAlignment="1">
      <alignment horizontal="center" vertical="top" wrapText="1"/>
    </xf>
    <xf numFmtId="0" fontId="0" fillId="4" borderId="3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10" borderId="0" xfId="0" applyFill="1" applyAlignment="1">
      <alignment/>
    </xf>
    <xf numFmtId="0" fontId="0" fillId="5" borderId="31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1" fillId="24" borderId="24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9" fillId="0" borderId="59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1" fillId="24" borderId="24" xfId="0" applyFont="1" applyFill="1" applyBorder="1" applyAlignment="1">
      <alignment horizontal="center" vertical="center"/>
    </xf>
    <xf numFmtId="0" fontId="1" fillId="24" borderId="34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/>
    </xf>
    <xf numFmtId="0" fontId="1" fillId="24" borderId="51" xfId="0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1" fillId="0" borderId="49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0" borderId="49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0" fillId="26" borderId="28" xfId="0" applyFill="1" applyBorder="1" applyAlignment="1">
      <alignment horizontal="center" vertical="center"/>
    </xf>
    <xf numFmtId="0" fontId="1" fillId="10" borderId="3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24" borderId="42" xfId="0" applyFont="1" applyFill="1" applyBorder="1" applyAlignment="1">
      <alignment horizontal="center" vertical="center"/>
    </xf>
    <xf numFmtId="0" fontId="1" fillId="24" borderId="2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0" fillId="26" borderId="51" xfId="0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24" borderId="40" xfId="0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" fillId="24" borderId="60" xfId="0" applyFont="1" applyFill="1" applyBorder="1" applyAlignment="1">
      <alignment horizontal="center" vertical="center"/>
    </xf>
    <xf numFmtId="0" fontId="1" fillId="24" borderId="6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vertical="center" wrapText="1"/>
    </xf>
    <xf numFmtId="49" fontId="8" fillId="0" borderId="36" xfId="0" applyNumberFormat="1" applyFont="1" applyFill="1" applyBorder="1" applyAlignment="1">
      <alignment vertical="center" wrapText="1"/>
    </xf>
    <xf numFmtId="49" fontId="8" fillId="0" borderId="35" xfId="0" applyNumberFormat="1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vertical="center" wrapText="1"/>
    </xf>
    <xf numFmtId="0" fontId="37" fillId="0" borderId="36" xfId="0" applyFont="1" applyFill="1" applyBorder="1" applyAlignment="1">
      <alignment vertical="center" wrapText="1"/>
    </xf>
    <xf numFmtId="0" fontId="37" fillId="0" borderId="3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1" fillId="24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52" xfId="0" applyNumberFormat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" fontId="0" fillId="0" borderId="57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5" xfId="55"/>
    <cellStyle name="Обычный 2 16" xfId="56"/>
    <cellStyle name="Обычный 2 17" xfId="57"/>
    <cellStyle name="Обычный 2 18" xfId="58"/>
    <cellStyle name="Обычный 2 20" xfId="59"/>
    <cellStyle name="Обычный 2 21" xfId="60"/>
    <cellStyle name="Обычный 2 22" xfId="61"/>
    <cellStyle name="Обычный 2 24" xfId="62"/>
    <cellStyle name="Обычный 2 26" xfId="63"/>
    <cellStyle name="Обычный 2 27" xfId="64"/>
    <cellStyle name="Обычный 2 28" xfId="65"/>
    <cellStyle name="Обычный 2 3" xfId="66"/>
    <cellStyle name="Обычный 2 30" xfId="67"/>
    <cellStyle name="Обычный 2 31" xfId="68"/>
    <cellStyle name="Обычный 2 32" xfId="69"/>
    <cellStyle name="Обычный 2 4" xfId="70"/>
    <cellStyle name="Обычный 2 7" xfId="71"/>
    <cellStyle name="Обычный 2 8" xfId="72"/>
    <cellStyle name="Обычный 2 9" xfId="73"/>
    <cellStyle name="Обычный 3" xfId="74"/>
    <cellStyle name="Обычный 3 10" xfId="75"/>
    <cellStyle name="Обычный 3 14" xfId="76"/>
    <cellStyle name="Обычный 3 15" xfId="77"/>
    <cellStyle name="Обычный 3 16" xfId="78"/>
    <cellStyle name="Обычный 3 17" xfId="79"/>
    <cellStyle name="Обычный 3 19" xfId="80"/>
    <cellStyle name="Обычный 3 2" xfId="81"/>
    <cellStyle name="Обычный 3 20" xfId="82"/>
    <cellStyle name="Обычный 3 21" xfId="83"/>
    <cellStyle name="Обычный 3 23" xfId="84"/>
    <cellStyle name="Обычный 3 24" xfId="85"/>
    <cellStyle name="Обычный 3 25" xfId="86"/>
    <cellStyle name="Обычный 3 26" xfId="87"/>
    <cellStyle name="Обычный 3 27" xfId="88"/>
    <cellStyle name="Обычный 3 29" xfId="89"/>
    <cellStyle name="Обычный 3 30" xfId="90"/>
    <cellStyle name="Обычный 3 31" xfId="91"/>
    <cellStyle name="Обычный 3 6" xfId="92"/>
    <cellStyle name="Обычный 3 7" xfId="93"/>
    <cellStyle name="Обычный 3 8" xfId="94"/>
    <cellStyle name="Обычный 3 9" xfId="95"/>
    <cellStyle name="Обычный 4" xfId="96"/>
    <cellStyle name="Обычный 5 2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C5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4B94FF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kpp.rv.ua/index.php?level=38.11.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8"/>
  <sheetViews>
    <sheetView tabSelected="1" view="pageBreakPreview" zoomScale="90" zoomScaleNormal="90" zoomScaleSheetLayoutView="90" workbookViewId="0" topLeftCell="A1">
      <pane xSplit="1" ySplit="13" topLeftCell="B2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31" sqref="F31"/>
    </sheetView>
  </sheetViews>
  <sheetFormatPr defaultColWidth="9.140625" defaultRowHeight="12.75"/>
  <cols>
    <col min="1" max="1" width="30.8515625" style="0" customWidth="1"/>
    <col min="2" max="2" width="10.8515625" style="0" customWidth="1"/>
    <col min="3" max="3" width="11.421875" style="0" customWidth="1"/>
    <col min="4" max="4" width="10.00390625" style="0" customWidth="1"/>
    <col min="5" max="5" width="10.8515625" style="0" customWidth="1"/>
    <col min="6" max="6" width="23.57421875" style="0" customWidth="1"/>
    <col min="7" max="7" width="9.28125" style="0" bestFit="1" customWidth="1"/>
    <col min="8" max="8" width="12.140625" style="0" bestFit="1" customWidth="1"/>
    <col min="10" max="10" width="10.00390625" style="0" customWidth="1"/>
    <col min="11" max="11" width="10.57421875" style="0" customWidth="1"/>
    <col min="12" max="12" width="10.8515625" style="0" customWidth="1"/>
  </cols>
  <sheetData>
    <row r="1" spans="7:14" ht="12.75">
      <c r="G1" s="328">
        <v>2272</v>
      </c>
      <c r="H1" s="329"/>
      <c r="I1" s="328">
        <v>2240</v>
      </c>
      <c r="J1" s="329"/>
      <c r="K1" s="330"/>
      <c r="L1" s="328">
        <v>2110</v>
      </c>
      <c r="M1" s="329"/>
      <c r="N1" s="330"/>
    </row>
    <row r="2" spans="7:14" ht="12.75">
      <c r="G2" s="48" t="s">
        <v>378</v>
      </c>
      <c r="H2" s="48" t="s">
        <v>175</v>
      </c>
      <c r="I2" s="48" t="s">
        <v>378</v>
      </c>
      <c r="J2" s="48" t="s">
        <v>175</v>
      </c>
      <c r="K2" s="48" t="s">
        <v>178</v>
      </c>
      <c r="L2" s="48" t="s">
        <v>378</v>
      </c>
      <c r="M2" s="48" t="s">
        <v>175</v>
      </c>
      <c r="N2" s="48" t="s">
        <v>178</v>
      </c>
    </row>
    <row r="3" spans="7:14" ht="12.75">
      <c r="G3">
        <v>10088</v>
      </c>
      <c r="H3">
        <v>119673</v>
      </c>
      <c r="I3">
        <v>295794</v>
      </c>
      <c r="J3" s="200">
        <f>929470</f>
        <v>929470</v>
      </c>
      <c r="K3" s="52">
        <f>SUM(I3:J3)</f>
        <v>1225264</v>
      </c>
      <c r="L3">
        <f>321382+4270</f>
        <v>325652</v>
      </c>
      <c r="M3">
        <f>973368-185503</f>
        <v>787865</v>
      </c>
      <c r="N3" s="52">
        <f>SUM(L3:M3)</f>
        <v>1113517</v>
      </c>
    </row>
    <row r="4" spans="7:14" ht="12.75">
      <c r="G4">
        <f>G18</f>
        <v>10088</v>
      </c>
      <c r="H4">
        <f>H18</f>
        <v>119673</v>
      </c>
      <c r="I4">
        <f>G259</f>
        <v>295794</v>
      </c>
      <c r="J4">
        <f>H259</f>
        <v>929470</v>
      </c>
      <c r="K4" s="52">
        <f>SUM(I4:J4)</f>
        <v>1225264</v>
      </c>
      <c r="L4">
        <f>G679</f>
        <v>325652</v>
      </c>
      <c r="M4">
        <f>H679</f>
        <v>787865</v>
      </c>
      <c r="N4" s="52">
        <f>SUM(L4:M4)</f>
        <v>1113517</v>
      </c>
    </row>
    <row r="5" spans="7:14" ht="12.75">
      <c r="G5" s="53">
        <f>G3-G4</f>
        <v>0</v>
      </c>
      <c r="H5" s="53">
        <f>H3-H4</f>
        <v>0</v>
      </c>
      <c r="I5" s="53">
        <f>I3-I4</f>
        <v>0</v>
      </c>
      <c r="J5" s="53">
        <f>J3-J4</f>
        <v>0</v>
      </c>
      <c r="K5" s="54">
        <f>SUM(I5:J5)</f>
        <v>0</v>
      </c>
      <c r="L5" s="53">
        <f>L3-L4</f>
        <v>0</v>
      </c>
      <c r="M5" s="53">
        <f>M3-M4</f>
        <v>0</v>
      </c>
      <c r="N5" s="54">
        <f>SUM(L5:M5)</f>
        <v>0</v>
      </c>
    </row>
    <row r="7" spans="1:6" ht="15.75">
      <c r="A7" s="321" t="s">
        <v>191</v>
      </c>
      <c r="B7" s="321"/>
      <c r="C7" s="321"/>
      <c r="D7" s="321"/>
      <c r="E7" s="321"/>
      <c r="F7" s="321"/>
    </row>
    <row r="8" spans="1:6" ht="15.75">
      <c r="A8" s="321" t="s">
        <v>192</v>
      </c>
      <c r="B8" s="321"/>
      <c r="C8" s="321"/>
      <c r="D8" s="321"/>
      <c r="E8" s="321"/>
      <c r="F8" s="321"/>
    </row>
    <row r="9" spans="1:6" ht="15.75">
      <c r="A9" s="321" t="s">
        <v>193</v>
      </c>
      <c r="B9" s="321"/>
      <c r="C9" s="321"/>
      <c r="D9" s="321"/>
      <c r="E9" s="321"/>
      <c r="F9" s="321"/>
    </row>
    <row r="10" spans="1:6" ht="16.5" thickBot="1">
      <c r="A10" s="321" t="s">
        <v>668</v>
      </c>
      <c r="B10" s="321"/>
      <c r="C10" s="321"/>
      <c r="D10" s="321"/>
      <c r="E10" s="321"/>
      <c r="F10" s="321"/>
    </row>
    <row r="11" spans="1:15" ht="16.5" thickBot="1">
      <c r="A11" s="1"/>
      <c r="G11" s="331" t="s">
        <v>173</v>
      </c>
      <c r="H11" s="332"/>
      <c r="I11" s="333"/>
      <c r="J11" s="331" t="s">
        <v>176</v>
      </c>
      <c r="K11" s="332"/>
      <c r="L11" s="333"/>
      <c r="M11" s="331" t="s">
        <v>177</v>
      </c>
      <c r="N11" s="332"/>
      <c r="O11" s="333"/>
    </row>
    <row r="12" spans="1:15" ht="63" customHeight="1" thickBot="1">
      <c r="A12" s="22" t="s">
        <v>190</v>
      </c>
      <c r="B12" s="23" t="s">
        <v>194</v>
      </c>
      <c r="C12" s="23" t="s">
        <v>195</v>
      </c>
      <c r="D12" s="23" t="s">
        <v>196</v>
      </c>
      <c r="E12" s="23" t="s">
        <v>197</v>
      </c>
      <c r="F12" s="23" t="s">
        <v>198</v>
      </c>
      <c r="G12" s="159" t="s">
        <v>174</v>
      </c>
      <c r="H12" s="25" t="s">
        <v>175</v>
      </c>
      <c r="I12" s="26" t="s">
        <v>178</v>
      </c>
      <c r="J12" s="24" t="s">
        <v>174</v>
      </c>
      <c r="K12" s="25" t="s">
        <v>175</v>
      </c>
      <c r="L12" s="26" t="s">
        <v>178</v>
      </c>
      <c r="M12" s="27" t="s">
        <v>174</v>
      </c>
      <c r="N12" s="28" t="s">
        <v>175</v>
      </c>
      <c r="O12" s="29" t="s">
        <v>178</v>
      </c>
    </row>
    <row r="13" spans="1:15" ht="13.5" thickBot="1">
      <c r="A13" s="162">
        <v>1</v>
      </c>
      <c r="B13" s="163">
        <v>2</v>
      </c>
      <c r="C13" s="164">
        <v>3</v>
      </c>
      <c r="D13" s="164">
        <v>4</v>
      </c>
      <c r="E13" s="164">
        <v>5</v>
      </c>
      <c r="F13" s="164">
        <v>6</v>
      </c>
      <c r="G13" s="8"/>
      <c r="H13" s="8"/>
      <c r="I13" s="9"/>
      <c r="J13" s="7"/>
      <c r="K13" s="8"/>
      <c r="L13" s="9"/>
      <c r="M13" s="7"/>
      <c r="N13" s="8"/>
      <c r="O13" s="9"/>
    </row>
    <row r="14" spans="1:15" ht="13.5" thickBot="1">
      <c r="A14" s="171" t="s">
        <v>199</v>
      </c>
      <c r="B14" s="172"/>
      <c r="C14" s="172"/>
      <c r="D14" s="173"/>
      <c r="E14" s="172"/>
      <c r="F14" s="172"/>
      <c r="G14" s="11"/>
      <c r="H14" s="11"/>
      <c r="I14" s="2"/>
      <c r="J14" s="10"/>
      <c r="K14" s="11"/>
      <c r="L14" s="2"/>
      <c r="M14" s="10"/>
      <c r="N14" s="11"/>
      <c r="O14" s="2"/>
    </row>
    <row r="15" spans="1:15" ht="24.75" thickBot="1">
      <c r="A15" s="58" t="s">
        <v>200</v>
      </c>
      <c r="B15" s="55" t="s">
        <v>201</v>
      </c>
      <c r="C15" s="55" t="s">
        <v>202</v>
      </c>
      <c r="D15" s="56"/>
      <c r="E15" s="57"/>
      <c r="F15" s="57"/>
      <c r="G15" s="40">
        <v>5571</v>
      </c>
      <c r="H15" s="14">
        <f>119673-H17</f>
        <v>64982</v>
      </c>
      <c r="I15" s="31">
        <f>SUM(G15:H15)</f>
        <v>70553</v>
      </c>
      <c r="J15" s="15">
        <v>5571</v>
      </c>
      <c r="K15" s="14">
        <v>41691.83</v>
      </c>
      <c r="L15" s="31">
        <f>SUM(J15:K15)</f>
        <v>47262.83</v>
      </c>
      <c r="M15" s="15">
        <f>G15-J15</f>
        <v>0</v>
      </c>
      <c r="N15" s="14">
        <f>H15-K15</f>
        <v>23290.17</v>
      </c>
      <c r="O15" s="31">
        <f>SUM(M15:N15)</f>
        <v>23290.17</v>
      </c>
    </row>
    <row r="16" spans="1:15" ht="13.5" thickBot="1">
      <c r="A16" s="174" t="s">
        <v>203</v>
      </c>
      <c r="B16" s="175"/>
      <c r="C16" s="176"/>
      <c r="D16" s="177"/>
      <c r="E16" s="176"/>
      <c r="F16" s="176"/>
      <c r="G16" s="11"/>
      <c r="H16" s="11"/>
      <c r="I16" s="2"/>
      <c r="J16" s="10"/>
      <c r="K16" s="11"/>
      <c r="L16" s="2"/>
      <c r="M16" s="10"/>
      <c r="N16" s="11"/>
      <c r="O16" s="2"/>
    </row>
    <row r="17" spans="1:15" ht="27.75" customHeight="1" thickBot="1">
      <c r="A17" s="59" t="s">
        <v>204</v>
      </c>
      <c r="B17" s="55" t="s">
        <v>201</v>
      </c>
      <c r="C17" s="55" t="s">
        <v>205</v>
      </c>
      <c r="D17" s="56"/>
      <c r="E17" s="57"/>
      <c r="F17" s="57"/>
      <c r="G17" s="40">
        <v>4517</v>
      </c>
      <c r="H17" s="14">
        <v>54691</v>
      </c>
      <c r="I17" s="31">
        <f>SUM(G17:H17)</f>
        <v>59208</v>
      </c>
      <c r="J17" s="15">
        <v>4517</v>
      </c>
      <c r="K17" s="14">
        <v>35260.69</v>
      </c>
      <c r="L17" s="31">
        <f>SUM(J17:K17)</f>
        <v>39777.69</v>
      </c>
      <c r="M17" s="15">
        <f>G17-J17</f>
        <v>0</v>
      </c>
      <c r="N17" s="14">
        <f>H17-K17</f>
        <v>19430.309999999998</v>
      </c>
      <c r="O17" s="31">
        <f>SUM(M17:N17)</f>
        <v>19430.309999999998</v>
      </c>
    </row>
    <row r="18" spans="1:15" ht="22.5" customHeight="1" thickBot="1">
      <c r="A18" s="61" t="s">
        <v>206</v>
      </c>
      <c r="B18" s="62"/>
      <c r="C18" s="55" t="s">
        <v>207</v>
      </c>
      <c r="D18" s="56"/>
      <c r="E18" s="57"/>
      <c r="F18" s="57"/>
      <c r="G18" s="115">
        <f>G15+G17</f>
        <v>10088</v>
      </c>
      <c r="H18" s="63">
        <f>H15+H17</f>
        <v>119673</v>
      </c>
      <c r="I18" s="46">
        <f>SUM(G18:H18)</f>
        <v>129761</v>
      </c>
      <c r="J18" s="47">
        <f>J15+J17</f>
        <v>10088</v>
      </c>
      <c r="K18" s="63">
        <f>K15+K17</f>
        <v>76952.52</v>
      </c>
      <c r="L18" s="46">
        <f>SUM(J18:K18)</f>
        <v>87040.52</v>
      </c>
      <c r="M18" s="47">
        <f>M15+M17</f>
        <v>0</v>
      </c>
      <c r="N18" s="63">
        <f>N15+N17</f>
        <v>42720.479999999996</v>
      </c>
      <c r="O18" s="46">
        <f>SUM(M18:N18)</f>
        <v>42720.479999999996</v>
      </c>
    </row>
    <row r="19" spans="1:15" ht="13.5" thickBot="1">
      <c r="A19" s="171" t="s">
        <v>208</v>
      </c>
      <c r="B19" s="172"/>
      <c r="C19" s="172"/>
      <c r="D19" s="178"/>
      <c r="E19" s="179"/>
      <c r="F19" s="179"/>
      <c r="G19" s="180">
        <f aca="true" t="shared" si="0" ref="G19:O19">G20</f>
        <v>0</v>
      </c>
      <c r="H19" s="181">
        <f t="shared" si="0"/>
        <v>7100</v>
      </c>
      <c r="I19" s="182">
        <f t="shared" si="0"/>
        <v>7100</v>
      </c>
      <c r="J19" s="183">
        <f t="shared" si="0"/>
        <v>0</v>
      </c>
      <c r="K19" s="181">
        <f t="shared" si="0"/>
        <v>6100</v>
      </c>
      <c r="L19" s="182">
        <f t="shared" si="0"/>
        <v>6100</v>
      </c>
      <c r="M19" s="180">
        <f t="shared" si="0"/>
        <v>0</v>
      </c>
      <c r="N19" s="181">
        <f t="shared" si="0"/>
        <v>1000</v>
      </c>
      <c r="O19" s="182">
        <f t="shared" si="0"/>
        <v>1000</v>
      </c>
    </row>
    <row r="20" spans="1:15" ht="36.75" thickBot="1">
      <c r="A20" s="59" t="s">
        <v>209</v>
      </c>
      <c r="B20" s="55" t="s">
        <v>210</v>
      </c>
      <c r="C20" s="55" t="s">
        <v>211</v>
      </c>
      <c r="D20" s="56"/>
      <c r="E20" s="57"/>
      <c r="F20" s="74" t="s">
        <v>388</v>
      </c>
      <c r="G20" s="66"/>
      <c r="H20" s="65">
        <v>7100</v>
      </c>
      <c r="I20" s="51">
        <f>SUM(G20:H20)</f>
        <v>7100</v>
      </c>
      <c r="J20" s="64"/>
      <c r="K20" s="65">
        <v>6100</v>
      </c>
      <c r="L20" s="51">
        <f>SUM(J20:K20)</f>
        <v>6100</v>
      </c>
      <c r="M20" s="66">
        <f>G20-J20</f>
        <v>0</v>
      </c>
      <c r="N20" s="65">
        <f>H20-K20</f>
        <v>1000</v>
      </c>
      <c r="O20" s="51">
        <f>SUM(M20:N20)</f>
        <v>1000</v>
      </c>
    </row>
    <row r="21" spans="1:15" ht="13.5" thickBot="1">
      <c r="A21" s="171" t="s">
        <v>212</v>
      </c>
      <c r="B21" s="172"/>
      <c r="C21" s="172"/>
      <c r="D21" s="178"/>
      <c r="E21" s="179"/>
      <c r="F21" s="184"/>
      <c r="G21" s="180">
        <f>G22</f>
        <v>38237</v>
      </c>
      <c r="H21" s="181">
        <f>H22</f>
        <v>30687</v>
      </c>
      <c r="I21" s="182">
        <f>I22</f>
        <v>68924</v>
      </c>
      <c r="J21" s="183">
        <f>SUM(J22:J33)</f>
        <v>38236.030000000006</v>
      </c>
      <c r="K21" s="181">
        <f>SUM(K22:K33)</f>
        <v>4205.82</v>
      </c>
      <c r="L21" s="182">
        <f>SUM(L22:L33)</f>
        <v>46219.310000000005</v>
      </c>
      <c r="M21" s="180">
        <f>M22</f>
        <v>0.9699999999938882</v>
      </c>
      <c r="N21" s="181">
        <f>N22</f>
        <v>26481.18</v>
      </c>
      <c r="O21" s="182">
        <f>O22</f>
        <v>22704.689999999995</v>
      </c>
    </row>
    <row r="22" spans="1:15" ht="26.25" customHeight="1">
      <c r="A22" s="258" t="s">
        <v>213</v>
      </c>
      <c r="B22" s="281" t="s">
        <v>210</v>
      </c>
      <c r="C22" s="281" t="s">
        <v>511</v>
      </c>
      <c r="D22" s="283"/>
      <c r="E22" s="211"/>
      <c r="F22" s="101" t="s">
        <v>389</v>
      </c>
      <c r="G22" s="325">
        <f>26702+1500+7160+2875</f>
        <v>38237</v>
      </c>
      <c r="H22" s="323">
        <v>30687</v>
      </c>
      <c r="I22" s="267">
        <f>G22+H22</f>
        <v>68924</v>
      </c>
      <c r="J22" s="16"/>
      <c r="K22" s="17">
        <v>2055.82</v>
      </c>
      <c r="L22" s="30">
        <f>J22+K22</f>
        <v>2055.82</v>
      </c>
      <c r="M22" s="322">
        <f>G21-J21</f>
        <v>0.9699999999938882</v>
      </c>
      <c r="N22" s="319">
        <f>H21-K21</f>
        <v>26481.18</v>
      </c>
      <c r="O22" s="320">
        <f>I21-L21</f>
        <v>22704.689999999995</v>
      </c>
    </row>
    <row r="23" spans="1:15" ht="24" customHeight="1">
      <c r="A23" s="220"/>
      <c r="B23" s="260"/>
      <c r="C23" s="260"/>
      <c r="D23" s="241"/>
      <c r="E23" s="212"/>
      <c r="F23" s="142" t="s">
        <v>390</v>
      </c>
      <c r="G23" s="289"/>
      <c r="H23" s="255"/>
      <c r="I23" s="285"/>
      <c r="J23" s="15">
        <v>450</v>
      </c>
      <c r="K23" s="14"/>
      <c r="L23" s="31">
        <f>J23+K23</f>
        <v>450</v>
      </c>
      <c r="M23" s="251"/>
      <c r="N23" s="231"/>
      <c r="O23" s="223"/>
    </row>
    <row r="24" spans="1:15" ht="24" customHeight="1">
      <c r="A24" s="220"/>
      <c r="B24" s="260"/>
      <c r="C24" s="260"/>
      <c r="D24" s="241"/>
      <c r="E24" s="212"/>
      <c r="F24" s="324" t="s">
        <v>391</v>
      </c>
      <c r="G24" s="289"/>
      <c r="H24" s="255"/>
      <c r="I24" s="285"/>
      <c r="J24" s="294"/>
      <c r="K24" s="255">
        <v>1790</v>
      </c>
      <c r="L24" s="223">
        <v>2055.82</v>
      </c>
      <c r="M24" s="251"/>
      <c r="N24" s="231"/>
      <c r="O24" s="223"/>
    </row>
    <row r="25" spans="1:15" ht="0.75" customHeight="1">
      <c r="A25" s="220"/>
      <c r="B25" s="260"/>
      <c r="C25" s="260"/>
      <c r="D25" s="241"/>
      <c r="E25" s="212"/>
      <c r="F25" s="324"/>
      <c r="G25" s="289"/>
      <c r="H25" s="255"/>
      <c r="I25" s="285"/>
      <c r="J25" s="294"/>
      <c r="K25" s="255"/>
      <c r="L25" s="223"/>
      <c r="M25" s="251"/>
      <c r="N25" s="231"/>
      <c r="O25" s="223"/>
    </row>
    <row r="26" spans="1:15" ht="24" customHeight="1">
      <c r="A26" s="220"/>
      <c r="B26" s="260"/>
      <c r="C26" s="260"/>
      <c r="D26" s="241"/>
      <c r="E26" s="212"/>
      <c r="F26" s="324" t="s">
        <v>392</v>
      </c>
      <c r="G26" s="289"/>
      <c r="H26" s="255"/>
      <c r="I26" s="285"/>
      <c r="J26" s="294"/>
      <c r="K26" s="255">
        <v>360</v>
      </c>
      <c r="L26" s="223">
        <v>2055.82</v>
      </c>
      <c r="M26" s="251"/>
      <c r="N26" s="231"/>
      <c r="O26" s="223"/>
    </row>
    <row r="27" spans="1:15" ht="0.75" customHeight="1">
      <c r="A27" s="220"/>
      <c r="B27" s="260"/>
      <c r="C27" s="260"/>
      <c r="D27" s="241"/>
      <c r="E27" s="212"/>
      <c r="F27" s="324"/>
      <c r="G27" s="289"/>
      <c r="H27" s="255"/>
      <c r="I27" s="285"/>
      <c r="J27" s="294"/>
      <c r="K27" s="255"/>
      <c r="L27" s="223"/>
      <c r="M27" s="251"/>
      <c r="N27" s="231"/>
      <c r="O27" s="223"/>
    </row>
    <row r="28" spans="1:15" ht="24" customHeight="1">
      <c r="A28" s="220"/>
      <c r="B28" s="260"/>
      <c r="C28" s="260"/>
      <c r="D28" s="241"/>
      <c r="E28" s="212"/>
      <c r="F28" s="142" t="s">
        <v>393</v>
      </c>
      <c r="G28" s="289"/>
      <c r="H28" s="255"/>
      <c r="I28" s="285"/>
      <c r="J28" s="15">
        <v>240</v>
      </c>
      <c r="K28" s="14"/>
      <c r="L28" s="31">
        <v>2055.82</v>
      </c>
      <c r="M28" s="251"/>
      <c r="N28" s="231"/>
      <c r="O28" s="223"/>
    </row>
    <row r="29" spans="1:15" ht="23.25" customHeight="1">
      <c r="A29" s="220"/>
      <c r="B29" s="260"/>
      <c r="C29" s="260"/>
      <c r="D29" s="241"/>
      <c r="E29" s="212"/>
      <c r="F29" s="142" t="s">
        <v>394</v>
      </c>
      <c r="G29" s="289"/>
      <c r="H29" s="255"/>
      <c r="I29" s="285"/>
      <c r="J29" s="15">
        <v>850</v>
      </c>
      <c r="K29" s="14"/>
      <c r="L29" s="31">
        <f>J29+K29</f>
        <v>850</v>
      </c>
      <c r="M29" s="251"/>
      <c r="N29" s="231"/>
      <c r="O29" s="223"/>
    </row>
    <row r="30" spans="1:15" ht="27.75" customHeight="1">
      <c r="A30" s="220"/>
      <c r="B30" s="260"/>
      <c r="C30" s="260"/>
      <c r="D30" s="241"/>
      <c r="E30" s="212"/>
      <c r="F30" s="142" t="s">
        <v>395</v>
      </c>
      <c r="G30" s="290"/>
      <c r="H30" s="256"/>
      <c r="I30" s="285"/>
      <c r="J30" s="18">
        <v>25124.05</v>
      </c>
      <c r="K30" s="19"/>
      <c r="L30" s="20">
        <f>J30+K30</f>
        <v>25124.05</v>
      </c>
      <c r="M30" s="252"/>
      <c r="N30" s="232"/>
      <c r="O30" s="224"/>
    </row>
    <row r="31" spans="1:15" ht="27.75" customHeight="1">
      <c r="A31" s="220"/>
      <c r="B31" s="260"/>
      <c r="C31" s="260"/>
      <c r="D31" s="241"/>
      <c r="E31" s="212"/>
      <c r="F31" s="142" t="s">
        <v>333</v>
      </c>
      <c r="G31" s="290"/>
      <c r="H31" s="256"/>
      <c r="I31" s="285"/>
      <c r="J31" s="88">
        <v>1500</v>
      </c>
      <c r="K31" s="19"/>
      <c r="L31" s="20">
        <f>J31+K31</f>
        <v>1500</v>
      </c>
      <c r="M31" s="252"/>
      <c r="N31" s="232"/>
      <c r="O31" s="224"/>
    </row>
    <row r="32" spans="1:15" ht="27.75" customHeight="1">
      <c r="A32" s="220"/>
      <c r="B32" s="260"/>
      <c r="C32" s="260"/>
      <c r="D32" s="241"/>
      <c r="E32" s="212"/>
      <c r="F32" s="142" t="s">
        <v>334</v>
      </c>
      <c r="G32" s="290"/>
      <c r="H32" s="256"/>
      <c r="I32" s="285"/>
      <c r="J32" s="88">
        <v>7160</v>
      </c>
      <c r="K32" s="19"/>
      <c r="L32" s="20">
        <f>J32+K32</f>
        <v>7160</v>
      </c>
      <c r="M32" s="252"/>
      <c r="N32" s="232"/>
      <c r="O32" s="224"/>
    </row>
    <row r="33" spans="1:15" ht="27.75" customHeight="1" thickBot="1">
      <c r="A33" s="221"/>
      <c r="B33" s="282"/>
      <c r="C33" s="282"/>
      <c r="D33" s="284"/>
      <c r="E33" s="214"/>
      <c r="F33" s="143" t="s">
        <v>339</v>
      </c>
      <c r="G33" s="290"/>
      <c r="H33" s="256"/>
      <c r="I33" s="268"/>
      <c r="J33" s="88">
        <v>2911.98</v>
      </c>
      <c r="K33" s="19"/>
      <c r="L33" s="20">
        <f>J33+K33</f>
        <v>2911.98</v>
      </c>
      <c r="M33" s="252"/>
      <c r="N33" s="232"/>
      <c r="O33" s="224"/>
    </row>
    <row r="34" spans="1:15" ht="13.5" thickBot="1">
      <c r="A34" s="171" t="s">
        <v>214</v>
      </c>
      <c r="B34" s="172"/>
      <c r="C34" s="172"/>
      <c r="D34" s="178"/>
      <c r="E34" s="179"/>
      <c r="F34" s="185"/>
      <c r="G34" s="180">
        <f>G35</f>
        <v>2000</v>
      </c>
      <c r="H34" s="181">
        <f>H35</f>
        <v>35354</v>
      </c>
      <c r="I34" s="182">
        <f>I35</f>
        <v>37354</v>
      </c>
      <c r="J34" s="183">
        <f>SUM(J35:J36)</f>
        <v>1904.83</v>
      </c>
      <c r="K34" s="181">
        <f>SUM(K35:K36)</f>
        <v>2614.8</v>
      </c>
      <c r="L34" s="182">
        <f>SUM(L35:L36)</f>
        <v>4519.63</v>
      </c>
      <c r="M34" s="180">
        <f>M35</f>
        <v>95.17000000000007</v>
      </c>
      <c r="N34" s="181">
        <f>N35</f>
        <v>32739.2</v>
      </c>
      <c r="O34" s="182">
        <f>O35</f>
        <v>32834.37</v>
      </c>
    </row>
    <row r="35" spans="1:15" ht="28.5" customHeight="1">
      <c r="A35" s="258" t="s">
        <v>215</v>
      </c>
      <c r="B35" s="281" t="s">
        <v>210</v>
      </c>
      <c r="C35" s="281" t="s">
        <v>216</v>
      </c>
      <c r="D35" s="283"/>
      <c r="E35" s="215"/>
      <c r="F35" s="91" t="s">
        <v>396</v>
      </c>
      <c r="G35" s="250">
        <v>2000</v>
      </c>
      <c r="H35" s="254">
        <v>35354</v>
      </c>
      <c r="I35" s="267">
        <f>G35+H35</f>
        <v>37354</v>
      </c>
      <c r="J35" s="12">
        <v>1904.83</v>
      </c>
      <c r="K35" s="13"/>
      <c r="L35" s="21">
        <f>SUM(J35:K35)</f>
        <v>1904.83</v>
      </c>
      <c r="M35" s="250">
        <f>G34-J34</f>
        <v>95.17000000000007</v>
      </c>
      <c r="N35" s="229">
        <f>H34-K34</f>
        <v>32739.2</v>
      </c>
      <c r="O35" s="222">
        <f>M35+N35</f>
        <v>32834.37</v>
      </c>
    </row>
    <row r="36" spans="1:15" ht="27" customHeight="1" thickBot="1">
      <c r="A36" s="221"/>
      <c r="B36" s="282"/>
      <c r="C36" s="282"/>
      <c r="D36" s="284"/>
      <c r="E36" s="217"/>
      <c r="F36" s="74" t="s">
        <v>397</v>
      </c>
      <c r="G36" s="252"/>
      <c r="H36" s="256"/>
      <c r="I36" s="268"/>
      <c r="J36" s="18"/>
      <c r="K36" s="19">
        <v>2614.8</v>
      </c>
      <c r="L36" s="20">
        <f>SUM(J36:K36)</f>
        <v>2614.8</v>
      </c>
      <c r="M36" s="252"/>
      <c r="N36" s="232"/>
      <c r="O36" s="224"/>
    </row>
    <row r="37" spans="1:15" ht="13.5" thickBot="1">
      <c r="A37" s="171" t="s">
        <v>217</v>
      </c>
      <c r="B37" s="172"/>
      <c r="C37" s="172"/>
      <c r="D37" s="178"/>
      <c r="E37" s="179"/>
      <c r="F37" s="179"/>
      <c r="G37" s="180">
        <f>G38</f>
        <v>7971</v>
      </c>
      <c r="H37" s="181">
        <f>H38</f>
        <v>73000</v>
      </c>
      <c r="I37" s="182">
        <f>I38</f>
        <v>80971</v>
      </c>
      <c r="J37" s="183">
        <f>SUM(J38:J48)</f>
        <v>7970.789999999999</v>
      </c>
      <c r="K37" s="181">
        <f>SUM(K38:K48)</f>
        <v>13932.59</v>
      </c>
      <c r="L37" s="182">
        <f>SUM(L38:L48)</f>
        <v>21903.379999999997</v>
      </c>
      <c r="M37" s="180">
        <f>M38</f>
        <v>0.21000000000094587</v>
      </c>
      <c r="N37" s="181">
        <f>N38</f>
        <v>59067.41</v>
      </c>
      <c r="O37" s="182">
        <f>O38</f>
        <v>59067.62</v>
      </c>
    </row>
    <row r="38" spans="1:15" ht="27" customHeight="1">
      <c r="A38" s="300" t="s">
        <v>218</v>
      </c>
      <c r="B38" s="281" t="s">
        <v>210</v>
      </c>
      <c r="C38" s="281" t="s">
        <v>347</v>
      </c>
      <c r="D38" s="283"/>
      <c r="E38" s="215"/>
      <c r="F38" s="91" t="s">
        <v>398</v>
      </c>
      <c r="G38" s="250">
        <v>7971</v>
      </c>
      <c r="H38" s="254">
        <v>73000</v>
      </c>
      <c r="I38" s="267">
        <f>SUM(G38:H48)</f>
        <v>80971</v>
      </c>
      <c r="J38" s="12"/>
      <c r="K38" s="13">
        <v>2190.24</v>
      </c>
      <c r="L38" s="21">
        <f aca="true" t="shared" si="1" ref="L38:L48">SUM(J38:K38)</f>
        <v>2190.24</v>
      </c>
      <c r="M38" s="236">
        <f>G37-J37</f>
        <v>0.21000000000094587</v>
      </c>
      <c r="N38" s="229">
        <f>H37-K37</f>
        <v>59067.41</v>
      </c>
      <c r="O38" s="222">
        <f>I37-L37</f>
        <v>59067.62</v>
      </c>
    </row>
    <row r="39" spans="1:15" ht="16.5" customHeight="1">
      <c r="A39" s="301"/>
      <c r="B39" s="260"/>
      <c r="C39" s="260"/>
      <c r="D39" s="241"/>
      <c r="E39" s="216"/>
      <c r="F39" s="91" t="s">
        <v>180</v>
      </c>
      <c r="G39" s="251"/>
      <c r="H39" s="255"/>
      <c r="I39" s="285"/>
      <c r="J39" s="15"/>
      <c r="K39" s="14">
        <v>2190.24</v>
      </c>
      <c r="L39" s="31">
        <f t="shared" si="1"/>
        <v>2190.24</v>
      </c>
      <c r="M39" s="289"/>
      <c r="N39" s="231"/>
      <c r="O39" s="223"/>
    </row>
    <row r="40" spans="1:15" ht="16.5" customHeight="1">
      <c r="A40" s="301"/>
      <c r="B40" s="260"/>
      <c r="C40" s="260"/>
      <c r="D40" s="241"/>
      <c r="E40" s="216"/>
      <c r="F40" s="91" t="s">
        <v>179</v>
      </c>
      <c r="G40" s="251"/>
      <c r="H40" s="255"/>
      <c r="I40" s="285"/>
      <c r="J40" s="15"/>
      <c r="K40" s="14">
        <v>2464.02</v>
      </c>
      <c r="L40" s="31">
        <f t="shared" si="1"/>
        <v>2464.02</v>
      </c>
      <c r="M40" s="289"/>
      <c r="N40" s="231"/>
      <c r="O40" s="223"/>
    </row>
    <row r="41" spans="1:15" ht="15.75" customHeight="1">
      <c r="A41" s="301"/>
      <c r="B41" s="260"/>
      <c r="C41" s="260"/>
      <c r="D41" s="241"/>
      <c r="E41" s="216"/>
      <c r="F41" s="91" t="s">
        <v>184</v>
      </c>
      <c r="G41" s="251"/>
      <c r="H41" s="255"/>
      <c r="I41" s="285"/>
      <c r="J41" s="15"/>
      <c r="K41" s="14">
        <v>2098.98</v>
      </c>
      <c r="L41" s="31">
        <f t="shared" si="1"/>
        <v>2098.98</v>
      </c>
      <c r="M41" s="289"/>
      <c r="N41" s="231"/>
      <c r="O41" s="223"/>
    </row>
    <row r="42" spans="1:15" ht="17.25" customHeight="1">
      <c r="A42" s="301"/>
      <c r="B42" s="260"/>
      <c r="C42" s="260"/>
      <c r="D42" s="241"/>
      <c r="E42" s="216"/>
      <c r="F42" s="91" t="s">
        <v>185</v>
      </c>
      <c r="G42" s="251"/>
      <c r="H42" s="255"/>
      <c r="I42" s="285"/>
      <c r="J42" s="15"/>
      <c r="K42" s="14">
        <v>1916.46</v>
      </c>
      <c r="L42" s="31">
        <f t="shared" si="1"/>
        <v>1916.46</v>
      </c>
      <c r="M42" s="289"/>
      <c r="N42" s="231"/>
      <c r="O42" s="223"/>
    </row>
    <row r="43" spans="1:15" ht="15" customHeight="1">
      <c r="A43" s="301"/>
      <c r="B43" s="260"/>
      <c r="C43" s="260"/>
      <c r="D43" s="241"/>
      <c r="E43" s="216"/>
      <c r="F43" s="91" t="s">
        <v>181</v>
      </c>
      <c r="G43" s="251"/>
      <c r="H43" s="255"/>
      <c r="I43" s="285"/>
      <c r="J43" s="15"/>
      <c r="K43" s="14">
        <v>2411.36</v>
      </c>
      <c r="L43" s="31">
        <f t="shared" si="1"/>
        <v>2411.36</v>
      </c>
      <c r="M43" s="289"/>
      <c r="N43" s="231"/>
      <c r="O43" s="223"/>
    </row>
    <row r="44" spans="1:15" ht="12.75">
      <c r="A44" s="301"/>
      <c r="B44" s="260"/>
      <c r="C44" s="260"/>
      <c r="D44" s="241"/>
      <c r="E44" s="216"/>
      <c r="F44" s="91" t="s">
        <v>182</v>
      </c>
      <c r="G44" s="251"/>
      <c r="H44" s="255"/>
      <c r="I44" s="285"/>
      <c r="J44" s="15">
        <v>2418.39</v>
      </c>
      <c r="K44" s="14"/>
      <c r="L44" s="31">
        <f t="shared" si="1"/>
        <v>2418.39</v>
      </c>
      <c r="M44" s="289"/>
      <c r="N44" s="231"/>
      <c r="O44" s="223"/>
    </row>
    <row r="45" spans="1:15" ht="12.75">
      <c r="A45" s="301"/>
      <c r="B45" s="260"/>
      <c r="C45" s="260"/>
      <c r="D45" s="241"/>
      <c r="E45" s="216"/>
      <c r="F45" s="91" t="s">
        <v>183</v>
      </c>
      <c r="G45" s="251"/>
      <c r="H45" s="255"/>
      <c r="I45" s="285"/>
      <c r="J45" s="15"/>
      <c r="K45" s="14">
        <v>41.77</v>
      </c>
      <c r="L45" s="31">
        <f t="shared" si="1"/>
        <v>41.77</v>
      </c>
      <c r="M45" s="289"/>
      <c r="N45" s="231"/>
      <c r="O45" s="223"/>
    </row>
    <row r="46" spans="1:15" ht="15.75" customHeight="1">
      <c r="A46" s="301"/>
      <c r="B46" s="260"/>
      <c r="C46" s="260"/>
      <c r="D46" s="241"/>
      <c r="E46" s="216"/>
      <c r="F46" s="91" t="s">
        <v>186</v>
      </c>
      <c r="G46" s="251"/>
      <c r="H46" s="255"/>
      <c r="I46" s="285"/>
      <c r="J46" s="15"/>
      <c r="K46" s="14">
        <v>52.66</v>
      </c>
      <c r="L46" s="31">
        <f t="shared" si="1"/>
        <v>52.66</v>
      </c>
      <c r="M46" s="289"/>
      <c r="N46" s="231"/>
      <c r="O46" s="223"/>
    </row>
    <row r="47" spans="1:15" ht="14.25" customHeight="1">
      <c r="A47" s="301"/>
      <c r="B47" s="260"/>
      <c r="C47" s="260"/>
      <c r="D47" s="241"/>
      <c r="E47" s="216"/>
      <c r="F47" s="91" t="s">
        <v>187</v>
      </c>
      <c r="G47" s="251"/>
      <c r="H47" s="255"/>
      <c r="I47" s="285"/>
      <c r="J47" s="15"/>
      <c r="K47" s="14">
        <v>566.86</v>
      </c>
      <c r="L47" s="31">
        <f t="shared" si="1"/>
        <v>566.86</v>
      </c>
      <c r="M47" s="289"/>
      <c r="N47" s="231"/>
      <c r="O47" s="223"/>
    </row>
    <row r="48" spans="1:15" ht="24" customHeight="1" thickBot="1">
      <c r="A48" s="302"/>
      <c r="B48" s="282"/>
      <c r="C48" s="282"/>
      <c r="D48" s="284"/>
      <c r="E48" s="217"/>
      <c r="F48" s="74" t="s">
        <v>188</v>
      </c>
      <c r="G48" s="252"/>
      <c r="H48" s="256"/>
      <c r="I48" s="268"/>
      <c r="J48" s="18">
        <v>5552.4</v>
      </c>
      <c r="K48" s="19"/>
      <c r="L48" s="20">
        <f t="shared" si="1"/>
        <v>5552.4</v>
      </c>
      <c r="M48" s="290"/>
      <c r="N48" s="232"/>
      <c r="O48" s="224"/>
    </row>
    <row r="49" spans="1:15" ht="13.5" thickBot="1">
      <c r="A49" s="171" t="s">
        <v>219</v>
      </c>
      <c r="B49" s="172"/>
      <c r="C49" s="172"/>
      <c r="D49" s="178"/>
      <c r="E49" s="179"/>
      <c r="F49" s="179"/>
      <c r="G49" s="180">
        <f aca="true" t="shared" si="2" ref="G49:O49">G50</f>
        <v>2500</v>
      </c>
      <c r="H49" s="181">
        <f t="shared" si="2"/>
        <v>10024</v>
      </c>
      <c r="I49" s="182">
        <f t="shared" si="2"/>
        <v>12524</v>
      </c>
      <c r="J49" s="183">
        <f t="shared" si="2"/>
        <v>0</v>
      </c>
      <c r="K49" s="181">
        <f t="shared" si="2"/>
        <v>0</v>
      </c>
      <c r="L49" s="182">
        <f t="shared" si="2"/>
        <v>0</v>
      </c>
      <c r="M49" s="180">
        <f t="shared" si="2"/>
        <v>2500</v>
      </c>
      <c r="N49" s="181">
        <f t="shared" si="2"/>
        <v>10024</v>
      </c>
      <c r="O49" s="182">
        <f t="shared" si="2"/>
        <v>12524</v>
      </c>
    </row>
    <row r="50" spans="1:15" ht="24.75" thickBot="1">
      <c r="A50" s="59" t="s">
        <v>220</v>
      </c>
      <c r="B50" s="55" t="s">
        <v>210</v>
      </c>
      <c r="C50" s="55" t="s">
        <v>560</v>
      </c>
      <c r="D50" s="56"/>
      <c r="E50" s="57"/>
      <c r="F50" s="57"/>
      <c r="G50" s="41">
        <v>2500</v>
      </c>
      <c r="H50" s="89">
        <f>55024-45000</f>
        <v>10024</v>
      </c>
      <c r="I50" s="20">
        <f>SUM(G50:H50)</f>
        <v>12524</v>
      </c>
      <c r="J50" s="18"/>
      <c r="K50" s="19"/>
      <c r="L50" s="20">
        <f>SUM(J50:K50)</f>
        <v>0</v>
      </c>
      <c r="M50" s="41">
        <f>G49-J49</f>
        <v>2500</v>
      </c>
      <c r="N50" s="89">
        <f>H49-K49</f>
        <v>10024</v>
      </c>
      <c r="O50" s="20">
        <f>SUM(M50:N50)</f>
        <v>12524</v>
      </c>
    </row>
    <row r="51" spans="1:15" ht="13.5" thickBot="1">
      <c r="A51" s="171" t="s">
        <v>221</v>
      </c>
      <c r="B51" s="172"/>
      <c r="C51" s="172"/>
      <c r="D51" s="178"/>
      <c r="E51" s="179"/>
      <c r="F51" s="179"/>
      <c r="G51" s="180">
        <f>G52</f>
        <v>3000</v>
      </c>
      <c r="H51" s="181">
        <f>H52</f>
        <v>41000</v>
      </c>
      <c r="I51" s="182">
        <f>I52</f>
        <v>44000</v>
      </c>
      <c r="J51" s="183">
        <f>SUM(J52:J55)</f>
        <v>0</v>
      </c>
      <c r="K51" s="181">
        <f>SUM(K52:K55)</f>
        <v>4395.6</v>
      </c>
      <c r="L51" s="182">
        <f>SUM(L52:L55)</f>
        <v>4395.6</v>
      </c>
      <c r="M51" s="180">
        <f>M52</f>
        <v>3000</v>
      </c>
      <c r="N51" s="181">
        <f>N52</f>
        <v>36604.4</v>
      </c>
      <c r="O51" s="182">
        <f>O52</f>
        <v>39604.4</v>
      </c>
    </row>
    <row r="52" spans="1:15" ht="33.75">
      <c r="A52" s="258" t="s">
        <v>224</v>
      </c>
      <c r="B52" s="281" t="s">
        <v>210</v>
      </c>
      <c r="C52" s="281" t="s">
        <v>561</v>
      </c>
      <c r="D52" s="283"/>
      <c r="E52" s="215"/>
      <c r="F52" s="91" t="s">
        <v>189</v>
      </c>
      <c r="G52" s="250">
        <v>3000</v>
      </c>
      <c r="H52" s="254">
        <f>59000-18000</f>
        <v>41000</v>
      </c>
      <c r="I52" s="267">
        <f>SUM(G52:H55)</f>
        <v>44000</v>
      </c>
      <c r="J52" s="12"/>
      <c r="K52" s="13">
        <v>1108.8</v>
      </c>
      <c r="L52" s="21">
        <f>SUM(J52:K52)</f>
        <v>1108.8</v>
      </c>
      <c r="M52" s="250">
        <f>G51-J51</f>
        <v>3000</v>
      </c>
      <c r="N52" s="229">
        <f>H51-K51</f>
        <v>36604.4</v>
      </c>
      <c r="O52" s="222">
        <f>SUM(M52:N55)</f>
        <v>39604.4</v>
      </c>
    </row>
    <row r="53" spans="1:15" ht="12.75">
      <c r="A53" s="220"/>
      <c r="B53" s="260"/>
      <c r="C53" s="260"/>
      <c r="D53" s="241"/>
      <c r="E53" s="216"/>
      <c r="F53" s="91" t="s">
        <v>399</v>
      </c>
      <c r="G53" s="251"/>
      <c r="H53" s="255"/>
      <c r="I53" s="285"/>
      <c r="J53" s="15"/>
      <c r="K53" s="14">
        <v>1108.8</v>
      </c>
      <c r="L53" s="31">
        <f>SUM(J53:K53)</f>
        <v>1108.8</v>
      </c>
      <c r="M53" s="251"/>
      <c r="N53" s="231"/>
      <c r="O53" s="223"/>
    </row>
    <row r="54" spans="1:15" ht="33.75">
      <c r="A54" s="220"/>
      <c r="B54" s="260"/>
      <c r="C54" s="260"/>
      <c r="D54" s="241"/>
      <c r="E54" s="216"/>
      <c r="F54" s="91" t="s">
        <v>400</v>
      </c>
      <c r="G54" s="251"/>
      <c r="H54" s="255"/>
      <c r="I54" s="285"/>
      <c r="J54" s="15"/>
      <c r="K54" s="14">
        <v>1056</v>
      </c>
      <c r="L54" s="31">
        <f>SUM(J54:K54)</f>
        <v>1056</v>
      </c>
      <c r="M54" s="251"/>
      <c r="N54" s="231"/>
      <c r="O54" s="223"/>
    </row>
    <row r="55" spans="1:15" ht="27" customHeight="1" thickBot="1">
      <c r="A55" s="221"/>
      <c r="B55" s="282"/>
      <c r="C55" s="282"/>
      <c r="D55" s="284"/>
      <c r="E55" s="217"/>
      <c r="F55" s="91" t="s">
        <v>401</v>
      </c>
      <c r="G55" s="253"/>
      <c r="H55" s="257"/>
      <c r="I55" s="268"/>
      <c r="J55" s="47"/>
      <c r="K55" s="63">
        <v>1122</v>
      </c>
      <c r="L55" s="46">
        <f>SUM(J55:K55)</f>
        <v>1122</v>
      </c>
      <c r="M55" s="253"/>
      <c r="N55" s="230"/>
      <c r="O55" s="225"/>
    </row>
    <row r="56" spans="1:15" ht="13.5" thickBot="1">
      <c r="A56" s="171" t="s">
        <v>225</v>
      </c>
      <c r="B56" s="172"/>
      <c r="C56" s="172"/>
      <c r="D56" s="178"/>
      <c r="E56" s="179"/>
      <c r="F56" s="179"/>
      <c r="G56" s="180">
        <f>G57</f>
        <v>5000</v>
      </c>
      <c r="H56" s="181">
        <f>H57</f>
        <v>5000</v>
      </c>
      <c r="I56" s="182">
        <f>I57</f>
        <v>10000</v>
      </c>
      <c r="J56" s="183">
        <f>SUM(J57:J63)</f>
        <v>118.92</v>
      </c>
      <c r="K56" s="181">
        <f>SUM(K57:K63)</f>
        <v>1409.6</v>
      </c>
      <c r="L56" s="182">
        <f>SUM(L57:L63)</f>
        <v>1528.52</v>
      </c>
      <c r="M56" s="180">
        <f>M57</f>
        <v>4881.08</v>
      </c>
      <c r="N56" s="181">
        <f>N57</f>
        <v>3590.4</v>
      </c>
      <c r="O56" s="182">
        <f>O57</f>
        <v>8471.48</v>
      </c>
    </row>
    <row r="57" spans="1:15" ht="22.5">
      <c r="A57" s="258" t="s">
        <v>226</v>
      </c>
      <c r="B57" s="281" t="s">
        <v>210</v>
      </c>
      <c r="C57" s="281" t="s">
        <v>227</v>
      </c>
      <c r="D57" s="283"/>
      <c r="E57" s="215"/>
      <c r="F57" s="91" t="s">
        <v>402</v>
      </c>
      <c r="G57" s="250">
        <v>5000</v>
      </c>
      <c r="H57" s="254">
        <v>5000</v>
      </c>
      <c r="I57" s="267">
        <f>SUM(G57:H63)</f>
        <v>10000</v>
      </c>
      <c r="J57" s="12"/>
      <c r="K57" s="13">
        <v>158.6</v>
      </c>
      <c r="L57" s="21">
        <f aca="true" t="shared" si="3" ref="L57:L63">SUM(J57:K57)</f>
        <v>158.6</v>
      </c>
      <c r="M57" s="250">
        <f>G56-J56</f>
        <v>4881.08</v>
      </c>
      <c r="N57" s="254">
        <f>H56-K56</f>
        <v>3590.4</v>
      </c>
      <c r="O57" s="222">
        <f>SUM(M57:N63)</f>
        <v>8471.48</v>
      </c>
    </row>
    <row r="58" spans="1:15" ht="26.25" customHeight="1">
      <c r="A58" s="220"/>
      <c r="B58" s="260"/>
      <c r="C58" s="260"/>
      <c r="D58" s="241"/>
      <c r="E58" s="216"/>
      <c r="F58" s="91" t="s">
        <v>403</v>
      </c>
      <c r="G58" s="251"/>
      <c r="H58" s="255"/>
      <c r="I58" s="285"/>
      <c r="J58" s="15">
        <v>71.36</v>
      </c>
      <c r="K58" s="14"/>
      <c r="L58" s="31">
        <f t="shared" si="3"/>
        <v>71.36</v>
      </c>
      <c r="M58" s="251"/>
      <c r="N58" s="255"/>
      <c r="O58" s="223"/>
    </row>
    <row r="59" spans="1:15" ht="22.5">
      <c r="A59" s="220"/>
      <c r="B59" s="260"/>
      <c r="C59" s="260"/>
      <c r="D59" s="241"/>
      <c r="E59" s="216"/>
      <c r="F59" s="91" t="s">
        <v>404</v>
      </c>
      <c r="G59" s="251"/>
      <c r="H59" s="255"/>
      <c r="I59" s="285"/>
      <c r="J59" s="15">
        <v>23.78</v>
      </c>
      <c r="K59" s="14"/>
      <c r="L59" s="31">
        <f t="shared" si="3"/>
        <v>23.78</v>
      </c>
      <c r="M59" s="251"/>
      <c r="N59" s="255"/>
      <c r="O59" s="223"/>
    </row>
    <row r="60" spans="1:15" ht="12.75">
      <c r="A60" s="220"/>
      <c r="B60" s="260"/>
      <c r="C60" s="260"/>
      <c r="D60" s="241"/>
      <c r="E60" s="216"/>
      <c r="F60" s="91" t="s">
        <v>405</v>
      </c>
      <c r="G60" s="251"/>
      <c r="H60" s="255"/>
      <c r="I60" s="285"/>
      <c r="J60" s="15">
        <v>23.78</v>
      </c>
      <c r="K60" s="14"/>
      <c r="L60" s="31">
        <f t="shared" si="3"/>
        <v>23.78</v>
      </c>
      <c r="M60" s="251"/>
      <c r="N60" s="255"/>
      <c r="O60" s="223"/>
    </row>
    <row r="61" spans="1:15" ht="22.5">
      <c r="A61" s="220"/>
      <c r="B61" s="260"/>
      <c r="C61" s="260"/>
      <c r="D61" s="241"/>
      <c r="E61" s="216"/>
      <c r="F61" s="91" t="s">
        <v>406</v>
      </c>
      <c r="G61" s="251"/>
      <c r="H61" s="255"/>
      <c r="I61" s="285"/>
      <c r="J61" s="15"/>
      <c r="K61" s="14">
        <v>391</v>
      </c>
      <c r="L61" s="31">
        <f t="shared" si="3"/>
        <v>391</v>
      </c>
      <c r="M61" s="251"/>
      <c r="N61" s="255"/>
      <c r="O61" s="223"/>
    </row>
    <row r="62" spans="1:15" ht="22.5">
      <c r="A62" s="220"/>
      <c r="B62" s="260"/>
      <c r="C62" s="260"/>
      <c r="D62" s="241"/>
      <c r="E62" s="216"/>
      <c r="F62" s="91" t="s">
        <v>407</v>
      </c>
      <c r="G62" s="251"/>
      <c r="H62" s="255"/>
      <c r="I62" s="285"/>
      <c r="J62" s="15"/>
      <c r="K62" s="14">
        <v>469</v>
      </c>
      <c r="L62" s="31">
        <f t="shared" si="3"/>
        <v>469</v>
      </c>
      <c r="M62" s="251"/>
      <c r="N62" s="255"/>
      <c r="O62" s="223"/>
    </row>
    <row r="63" spans="1:15" ht="23.25" thickBot="1">
      <c r="A63" s="221"/>
      <c r="B63" s="282"/>
      <c r="C63" s="282"/>
      <c r="D63" s="284"/>
      <c r="E63" s="217"/>
      <c r="F63" s="91" t="s">
        <v>408</v>
      </c>
      <c r="G63" s="253"/>
      <c r="H63" s="257"/>
      <c r="I63" s="268"/>
      <c r="J63" s="47"/>
      <c r="K63" s="63">
        <v>391</v>
      </c>
      <c r="L63" s="46">
        <f t="shared" si="3"/>
        <v>391</v>
      </c>
      <c r="M63" s="253"/>
      <c r="N63" s="257"/>
      <c r="O63" s="225"/>
    </row>
    <row r="64" spans="1:15" ht="13.5" thickBot="1">
      <c r="A64" s="171" t="s">
        <v>228</v>
      </c>
      <c r="B64" s="172"/>
      <c r="C64" s="172"/>
      <c r="D64" s="178"/>
      <c r="E64" s="179"/>
      <c r="F64" s="179"/>
      <c r="G64" s="180">
        <f>G65</f>
        <v>5000</v>
      </c>
      <c r="H64" s="181">
        <f>H65</f>
        <v>5000</v>
      </c>
      <c r="I64" s="182">
        <f>I65</f>
        <v>10000</v>
      </c>
      <c r="J64" s="183">
        <f>SUM(J65:J66)</f>
        <v>2448.18</v>
      </c>
      <c r="K64" s="181">
        <f>SUM(K65:K66)</f>
        <v>1956.71</v>
      </c>
      <c r="L64" s="182">
        <f>SUM(L65:L66)</f>
        <v>4404.889999999999</v>
      </c>
      <c r="M64" s="180">
        <f>M65</f>
        <v>2551.82</v>
      </c>
      <c r="N64" s="181">
        <f>N65</f>
        <v>3043.29</v>
      </c>
      <c r="O64" s="182">
        <f>O65</f>
        <v>5595.110000000001</v>
      </c>
    </row>
    <row r="65" spans="1:15" ht="22.5">
      <c r="A65" s="258" t="s">
        <v>229</v>
      </c>
      <c r="B65" s="281" t="s">
        <v>210</v>
      </c>
      <c r="C65" s="273" t="s">
        <v>227</v>
      </c>
      <c r="D65" s="275"/>
      <c r="E65" s="275"/>
      <c r="F65" s="161" t="s">
        <v>409</v>
      </c>
      <c r="G65" s="322">
        <v>5000</v>
      </c>
      <c r="H65" s="323">
        <v>5000</v>
      </c>
      <c r="I65" s="267">
        <f>SUM(G65:H66)</f>
        <v>10000</v>
      </c>
      <c r="J65" s="16">
        <v>2448.18</v>
      </c>
      <c r="K65" s="17"/>
      <c r="L65" s="30">
        <f>SUM(J65:K65)</f>
        <v>2448.18</v>
      </c>
      <c r="M65" s="322">
        <f>G64-J64</f>
        <v>2551.82</v>
      </c>
      <c r="N65" s="323">
        <f>H64-K64</f>
        <v>3043.29</v>
      </c>
      <c r="O65" s="320">
        <f>SUM(M65:N66)</f>
        <v>5595.110000000001</v>
      </c>
    </row>
    <row r="66" spans="1:15" ht="23.25" thickBot="1">
      <c r="A66" s="220"/>
      <c r="B66" s="260"/>
      <c r="C66" s="259"/>
      <c r="D66" s="233"/>
      <c r="E66" s="233"/>
      <c r="F66" s="161" t="s">
        <v>410</v>
      </c>
      <c r="G66" s="253"/>
      <c r="H66" s="257"/>
      <c r="I66" s="268"/>
      <c r="J66" s="47"/>
      <c r="K66" s="73">
        <v>1956.71</v>
      </c>
      <c r="L66" s="46">
        <f>SUM(J66:K66)</f>
        <v>1956.71</v>
      </c>
      <c r="M66" s="253"/>
      <c r="N66" s="257"/>
      <c r="O66" s="225"/>
    </row>
    <row r="67" spans="1:15" ht="13.5" thickBot="1">
      <c r="A67" s="171" t="s">
        <v>230</v>
      </c>
      <c r="B67" s="172"/>
      <c r="C67" s="172"/>
      <c r="D67" s="178"/>
      <c r="E67" s="179"/>
      <c r="F67" s="179"/>
      <c r="G67" s="180">
        <f>G68</f>
        <v>5000</v>
      </c>
      <c r="H67" s="181">
        <f>H68</f>
        <v>8058</v>
      </c>
      <c r="I67" s="182">
        <f>I68</f>
        <v>13058</v>
      </c>
      <c r="J67" s="183">
        <f>SUM(J68:J74)</f>
        <v>1380</v>
      </c>
      <c r="K67" s="181">
        <f>SUM(K68:K74)</f>
        <v>1603</v>
      </c>
      <c r="L67" s="182">
        <f>SUM(L68:L74)</f>
        <v>2983</v>
      </c>
      <c r="M67" s="180">
        <f>M68</f>
        <v>3620</v>
      </c>
      <c r="N67" s="181">
        <f>N68</f>
        <v>6455</v>
      </c>
      <c r="O67" s="182">
        <f>O68</f>
        <v>10075</v>
      </c>
    </row>
    <row r="68" spans="1:15" ht="22.5">
      <c r="A68" s="258" t="s">
        <v>231</v>
      </c>
      <c r="B68" s="281" t="s">
        <v>210</v>
      </c>
      <c r="C68" s="281" t="s">
        <v>232</v>
      </c>
      <c r="D68" s="283"/>
      <c r="E68" s="215"/>
      <c r="F68" s="91" t="s">
        <v>411</v>
      </c>
      <c r="G68" s="250">
        <v>5000</v>
      </c>
      <c r="H68" s="254">
        <v>8058</v>
      </c>
      <c r="I68" s="267">
        <f>SUM(G68:H74)</f>
        <v>13058</v>
      </c>
      <c r="J68" s="12">
        <v>265</v>
      </c>
      <c r="K68" s="13"/>
      <c r="L68" s="21">
        <f aca="true" t="shared" si="4" ref="L68:L74">SUM(J68:K68)</f>
        <v>265</v>
      </c>
      <c r="M68" s="250">
        <f>G67-J67</f>
        <v>3620</v>
      </c>
      <c r="N68" s="254">
        <f>H67-K67</f>
        <v>6455</v>
      </c>
      <c r="O68" s="222">
        <f>SUM(M68:N74)</f>
        <v>10075</v>
      </c>
    </row>
    <row r="69" spans="1:15" ht="22.5">
      <c r="A69" s="220"/>
      <c r="B69" s="260"/>
      <c r="C69" s="260"/>
      <c r="D69" s="241"/>
      <c r="E69" s="216"/>
      <c r="F69" s="91" t="s">
        <v>412</v>
      </c>
      <c r="G69" s="251"/>
      <c r="H69" s="255"/>
      <c r="I69" s="285"/>
      <c r="J69" s="15"/>
      <c r="K69" s="14">
        <v>330</v>
      </c>
      <c r="L69" s="31">
        <f t="shared" si="4"/>
        <v>330</v>
      </c>
      <c r="M69" s="251"/>
      <c r="N69" s="255"/>
      <c r="O69" s="223"/>
    </row>
    <row r="70" spans="1:15" ht="22.5">
      <c r="A70" s="220"/>
      <c r="B70" s="260"/>
      <c r="C70" s="260"/>
      <c r="D70" s="241"/>
      <c r="E70" s="216"/>
      <c r="F70" s="91" t="s">
        <v>413</v>
      </c>
      <c r="G70" s="251"/>
      <c r="H70" s="255"/>
      <c r="I70" s="285"/>
      <c r="J70" s="15"/>
      <c r="K70" s="14">
        <v>1008</v>
      </c>
      <c r="L70" s="31">
        <f t="shared" si="4"/>
        <v>1008</v>
      </c>
      <c r="M70" s="251"/>
      <c r="N70" s="255"/>
      <c r="O70" s="223"/>
    </row>
    <row r="71" spans="1:15" ht="22.5">
      <c r="A71" s="220"/>
      <c r="B71" s="260"/>
      <c r="C71" s="260"/>
      <c r="D71" s="241"/>
      <c r="E71" s="216"/>
      <c r="F71" s="91" t="s">
        <v>414</v>
      </c>
      <c r="G71" s="251"/>
      <c r="H71" s="255"/>
      <c r="I71" s="285"/>
      <c r="J71" s="15"/>
      <c r="K71" s="14">
        <v>265</v>
      </c>
      <c r="L71" s="31">
        <f t="shared" si="4"/>
        <v>265</v>
      </c>
      <c r="M71" s="251"/>
      <c r="N71" s="255"/>
      <c r="O71" s="223"/>
    </row>
    <row r="72" spans="1:15" ht="22.5">
      <c r="A72" s="220"/>
      <c r="B72" s="260"/>
      <c r="C72" s="260"/>
      <c r="D72" s="241"/>
      <c r="E72" s="216"/>
      <c r="F72" s="91" t="s">
        <v>415</v>
      </c>
      <c r="G72" s="251"/>
      <c r="H72" s="255"/>
      <c r="I72" s="285"/>
      <c r="J72" s="15">
        <v>650</v>
      </c>
      <c r="K72" s="14"/>
      <c r="L72" s="31">
        <f t="shared" si="4"/>
        <v>650</v>
      </c>
      <c r="M72" s="251"/>
      <c r="N72" s="255"/>
      <c r="O72" s="223"/>
    </row>
    <row r="73" spans="1:15" ht="22.5">
      <c r="A73" s="220"/>
      <c r="B73" s="260"/>
      <c r="C73" s="260"/>
      <c r="D73" s="241"/>
      <c r="E73" s="216"/>
      <c r="F73" s="91" t="s">
        <v>416</v>
      </c>
      <c r="G73" s="252"/>
      <c r="H73" s="256"/>
      <c r="I73" s="285"/>
      <c r="J73" s="15">
        <v>200</v>
      </c>
      <c r="K73" s="14"/>
      <c r="L73" s="31">
        <f>SUM(J73:K73)</f>
        <v>200</v>
      </c>
      <c r="M73" s="252"/>
      <c r="N73" s="256"/>
      <c r="O73" s="224"/>
    </row>
    <row r="74" spans="1:15" ht="23.25" thickBot="1">
      <c r="A74" s="220"/>
      <c r="B74" s="260"/>
      <c r="C74" s="260"/>
      <c r="D74" s="241"/>
      <c r="E74" s="216"/>
      <c r="F74" s="91" t="s">
        <v>804</v>
      </c>
      <c r="G74" s="253"/>
      <c r="H74" s="257"/>
      <c r="I74" s="268"/>
      <c r="J74" s="83">
        <v>265</v>
      </c>
      <c r="K74" s="82"/>
      <c r="L74" s="50">
        <f t="shared" si="4"/>
        <v>265</v>
      </c>
      <c r="M74" s="253"/>
      <c r="N74" s="257"/>
      <c r="O74" s="225"/>
    </row>
    <row r="75" spans="1:15" ht="13.5" thickBot="1">
      <c r="A75" s="171" t="s">
        <v>233</v>
      </c>
      <c r="B75" s="172"/>
      <c r="C75" s="172"/>
      <c r="D75" s="178"/>
      <c r="E75" s="179"/>
      <c r="F75" s="179"/>
      <c r="G75" s="180">
        <f aca="true" t="shared" si="5" ref="G75:O75">G76</f>
        <v>1125</v>
      </c>
      <c r="H75" s="181">
        <f t="shared" si="5"/>
        <v>6050</v>
      </c>
      <c r="I75" s="182">
        <f t="shared" si="5"/>
        <v>7175</v>
      </c>
      <c r="J75" s="183">
        <f t="shared" si="5"/>
        <v>0</v>
      </c>
      <c r="K75" s="181">
        <f t="shared" si="5"/>
        <v>0</v>
      </c>
      <c r="L75" s="182">
        <f t="shared" si="5"/>
        <v>0</v>
      </c>
      <c r="M75" s="180">
        <f t="shared" si="5"/>
        <v>1125</v>
      </c>
      <c r="N75" s="181">
        <f t="shared" si="5"/>
        <v>6050</v>
      </c>
      <c r="O75" s="182">
        <f t="shared" si="5"/>
        <v>7175</v>
      </c>
    </row>
    <row r="76" spans="1:15" ht="38.25" customHeight="1" thickBot="1">
      <c r="A76" s="67" t="s">
        <v>234</v>
      </c>
      <c r="B76" s="68" t="s">
        <v>210</v>
      </c>
      <c r="C76" s="68" t="s">
        <v>512</v>
      </c>
      <c r="D76" s="69"/>
      <c r="E76" s="70"/>
      <c r="F76" s="70"/>
      <c r="G76" s="42">
        <f>4000-2875</f>
        <v>1125</v>
      </c>
      <c r="H76" s="38">
        <v>6050</v>
      </c>
      <c r="I76" s="39">
        <f>SUM(G76:H76)</f>
        <v>7175</v>
      </c>
      <c r="J76" s="37"/>
      <c r="K76" s="38"/>
      <c r="L76" s="39">
        <f>SUM(J76:K76)</f>
        <v>0</v>
      </c>
      <c r="M76" s="42">
        <f>G75-J75</f>
        <v>1125</v>
      </c>
      <c r="N76" s="151">
        <f>H75-K75</f>
        <v>6050</v>
      </c>
      <c r="O76" s="39">
        <f>SUM(M76:N76)</f>
        <v>7175</v>
      </c>
    </row>
    <row r="77" spans="1:15" ht="13.5" thickBot="1">
      <c r="A77" s="171" t="s">
        <v>235</v>
      </c>
      <c r="B77" s="172"/>
      <c r="C77" s="172"/>
      <c r="D77" s="178"/>
      <c r="E77" s="179"/>
      <c r="F77" s="179"/>
      <c r="G77" s="180">
        <f>G78</f>
        <v>9900</v>
      </c>
      <c r="H77" s="181">
        <f>H78</f>
        <v>5992</v>
      </c>
      <c r="I77" s="182">
        <f>I78</f>
        <v>15892</v>
      </c>
      <c r="J77" s="183">
        <f>SUM(J78:J86)</f>
        <v>5500</v>
      </c>
      <c r="K77" s="181">
        <f>SUM(K78:K86)</f>
        <v>120</v>
      </c>
      <c r="L77" s="182">
        <f>SUM(L78:L86)</f>
        <v>5620</v>
      </c>
      <c r="M77" s="180">
        <f>M78</f>
        <v>4400</v>
      </c>
      <c r="N77" s="181">
        <f>N78</f>
        <v>5872</v>
      </c>
      <c r="O77" s="182">
        <f>O78</f>
        <v>10272</v>
      </c>
    </row>
    <row r="78" spans="1:15" ht="22.5">
      <c r="A78" s="258" t="s">
        <v>236</v>
      </c>
      <c r="B78" s="281" t="s">
        <v>210</v>
      </c>
      <c r="C78" s="281" t="s">
        <v>237</v>
      </c>
      <c r="D78" s="283"/>
      <c r="E78" s="215"/>
      <c r="F78" s="91" t="s">
        <v>417</v>
      </c>
      <c r="G78" s="250">
        <v>9900</v>
      </c>
      <c r="H78" s="254">
        <v>5992</v>
      </c>
      <c r="I78" s="267">
        <f>SUM(G78:H86)</f>
        <v>15892</v>
      </c>
      <c r="J78" s="12"/>
      <c r="K78" s="13">
        <v>37.2</v>
      </c>
      <c r="L78" s="21">
        <f aca="true" t="shared" si="6" ref="L78:L86">SUM(J78:K78)</f>
        <v>37.2</v>
      </c>
      <c r="M78" s="250">
        <f>G77-J77</f>
        <v>4400</v>
      </c>
      <c r="N78" s="229">
        <f>H77-K77</f>
        <v>5872</v>
      </c>
      <c r="O78" s="222">
        <f>SUM(M78:N86)</f>
        <v>10272</v>
      </c>
    </row>
    <row r="79" spans="1:15" ht="12.75">
      <c r="A79" s="220"/>
      <c r="B79" s="260"/>
      <c r="C79" s="260"/>
      <c r="D79" s="241"/>
      <c r="E79" s="216"/>
      <c r="F79" s="91" t="s">
        <v>418</v>
      </c>
      <c r="G79" s="251"/>
      <c r="H79" s="255"/>
      <c r="I79" s="285"/>
      <c r="J79" s="15"/>
      <c r="K79" s="14">
        <v>37.2</v>
      </c>
      <c r="L79" s="31">
        <f t="shared" si="6"/>
        <v>37.2</v>
      </c>
      <c r="M79" s="251"/>
      <c r="N79" s="231"/>
      <c r="O79" s="223"/>
    </row>
    <row r="80" spans="1:15" ht="12.75">
      <c r="A80" s="220"/>
      <c r="B80" s="260"/>
      <c r="C80" s="260"/>
      <c r="D80" s="241"/>
      <c r="E80" s="216"/>
      <c r="F80" s="91" t="s">
        <v>419</v>
      </c>
      <c r="G80" s="251"/>
      <c r="H80" s="255"/>
      <c r="I80" s="285"/>
      <c r="J80" s="15"/>
      <c r="K80" s="14">
        <v>22.8</v>
      </c>
      <c r="L80" s="31">
        <f t="shared" si="6"/>
        <v>22.8</v>
      </c>
      <c r="M80" s="251"/>
      <c r="N80" s="231"/>
      <c r="O80" s="223"/>
    </row>
    <row r="81" spans="1:15" ht="12.75">
      <c r="A81" s="220"/>
      <c r="B81" s="260"/>
      <c r="C81" s="260"/>
      <c r="D81" s="241"/>
      <c r="E81" s="216"/>
      <c r="F81" s="91" t="s">
        <v>419</v>
      </c>
      <c r="G81" s="251"/>
      <c r="H81" s="255"/>
      <c r="I81" s="285"/>
      <c r="J81" s="15"/>
      <c r="K81" s="14">
        <v>22.8</v>
      </c>
      <c r="L81" s="31">
        <f t="shared" si="6"/>
        <v>22.8</v>
      </c>
      <c r="M81" s="251"/>
      <c r="N81" s="231"/>
      <c r="O81" s="223"/>
    </row>
    <row r="82" spans="1:15" ht="22.5">
      <c r="A82" s="220"/>
      <c r="B82" s="260"/>
      <c r="C82" s="260"/>
      <c r="D82" s="241"/>
      <c r="E82" s="216"/>
      <c r="F82" s="91" t="s">
        <v>420</v>
      </c>
      <c r="G82" s="251"/>
      <c r="H82" s="255"/>
      <c r="I82" s="285"/>
      <c r="J82" s="15">
        <v>1100</v>
      </c>
      <c r="K82" s="14"/>
      <c r="L82" s="31">
        <f t="shared" si="6"/>
        <v>1100</v>
      </c>
      <c r="M82" s="251"/>
      <c r="N82" s="231"/>
      <c r="O82" s="223"/>
    </row>
    <row r="83" spans="1:15" ht="12.75">
      <c r="A83" s="220"/>
      <c r="B83" s="260"/>
      <c r="C83" s="260"/>
      <c r="D83" s="241"/>
      <c r="E83" s="216"/>
      <c r="F83" s="91" t="s">
        <v>421</v>
      </c>
      <c r="G83" s="251"/>
      <c r="H83" s="255"/>
      <c r="I83" s="285"/>
      <c r="J83" s="15">
        <v>1100</v>
      </c>
      <c r="K83" s="14"/>
      <c r="L83" s="31">
        <f t="shared" si="6"/>
        <v>1100</v>
      </c>
      <c r="M83" s="251"/>
      <c r="N83" s="231"/>
      <c r="O83" s="223"/>
    </row>
    <row r="84" spans="1:15" ht="12.75">
      <c r="A84" s="220"/>
      <c r="B84" s="260"/>
      <c r="C84" s="260"/>
      <c r="D84" s="241"/>
      <c r="E84" s="216"/>
      <c r="F84" s="91" t="s">
        <v>421</v>
      </c>
      <c r="G84" s="251"/>
      <c r="H84" s="255"/>
      <c r="I84" s="285"/>
      <c r="J84" s="15">
        <v>1100</v>
      </c>
      <c r="K84" s="14"/>
      <c r="L84" s="31">
        <f t="shared" si="6"/>
        <v>1100</v>
      </c>
      <c r="M84" s="251"/>
      <c r="N84" s="231"/>
      <c r="O84" s="223"/>
    </row>
    <row r="85" spans="1:15" ht="12.75">
      <c r="A85" s="220"/>
      <c r="B85" s="260"/>
      <c r="C85" s="260"/>
      <c r="D85" s="241"/>
      <c r="E85" s="216"/>
      <c r="F85" s="91" t="s">
        <v>421</v>
      </c>
      <c r="G85" s="251"/>
      <c r="H85" s="255"/>
      <c r="I85" s="285"/>
      <c r="J85" s="15">
        <v>1100</v>
      </c>
      <c r="K85" s="14"/>
      <c r="L85" s="31">
        <f t="shared" si="6"/>
        <v>1100</v>
      </c>
      <c r="M85" s="251"/>
      <c r="N85" s="231"/>
      <c r="O85" s="223"/>
    </row>
    <row r="86" spans="1:15" ht="13.5" thickBot="1">
      <c r="A86" s="220"/>
      <c r="B86" s="260"/>
      <c r="C86" s="260"/>
      <c r="D86" s="241"/>
      <c r="E86" s="216"/>
      <c r="F86" s="91" t="s">
        <v>421</v>
      </c>
      <c r="G86" s="253"/>
      <c r="H86" s="257"/>
      <c r="I86" s="268"/>
      <c r="J86" s="47">
        <v>1100</v>
      </c>
      <c r="K86" s="63"/>
      <c r="L86" s="46">
        <f t="shared" si="6"/>
        <v>1100</v>
      </c>
      <c r="M86" s="253"/>
      <c r="N86" s="230"/>
      <c r="O86" s="225"/>
    </row>
    <row r="87" spans="1:15" ht="13.5" thickBot="1">
      <c r="A87" s="171" t="s">
        <v>238</v>
      </c>
      <c r="B87" s="172"/>
      <c r="C87" s="172"/>
      <c r="D87" s="178"/>
      <c r="E87" s="179"/>
      <c r="F87" s="179"/>
      <c r="G87" s="180">
        <f>G88</f>
        <v>0</v>
      </c>
      <c r="H87" s="181">
        <f>H88</f>
        <v>93000</v>
      </c>
      <c r="I87" s="182">
        <f>I88</f>
        <v>93000</v>
      </c>
      <c r="J87" s="183">
        <f>SUM(J88:J89)</f>
        <v>0</v>
      </c>
      <c r="K87" s="181">
        <f>SUM(K88:K89)</f>
        <v>83469.04000000001</v>
      </c>
      <c r="L87" s="182">
        <f>SUM(L88:L89)</f>
        <v>83469.04000000001</v>
      </c>
      <c r="M87" s="180">
        <f>M88</f>
        <v>0</v>
      </c>
      <c r="N87" s="181">
        <f>N88</f>
        <v>9530.959999999992</v>
      </c>
      <c r="O87" s="182">
        <f>O88</f>
        <v>9530.959999999992</v>
      </c>
    </row>
    <row r="88" spans="1:15" ht="33.75">
      <c r="A88" s="239" t="s">
        <v>239</v>
      </c>
      <c r="B88" s="281" t="s">
        <v>210</v>
      </c>
      <c r="C88" s="281" t="s">
        <v>240</v>
      </c>
      <c r="D88" s="283"/>
      <c r="E88" s="215"/>
      <c r="F88" s="91" t="s">
        <v>422</v>
      </c>
      <c r="G88" s="250"/>
      <c r="H88" s="254">
        <v>93000</v>
      </c>
      <c r="I88" s="267">
        <f>SUM(G88:H89)</f>
        <v>93000</v>
      </c>
      <c r="J88" s="12"/>
      <c r="K88" s="13">
        <v>44058</v>
      </c>
      <c r="L88" s="21">
        <f>SUM(J88:K88)</f>
        <v>44058</v>
      </c>
      <c r="M88" s="250">
        <f>G87-J87</f>
        <v>0</v>
      </c>
      <c r="N88" s="254">
        <f>H87-K87</f>
        <v>9530.959999999992</v>
      </c>
      <c r="O88" s="222">
        <f>SUM(M88:N89)</f>
        <v>9530.959999999992</v>
      </c>
    </row>
    <row r="89" spans="1:15" ht="13.5" thickBot="1">
      <c r="A89" s="240"/>
      <c r="B89" s="282"/>
      <c r="C89" s="282"/>
      <c r="D89" s="284"/>
      <c r="E89" s="217"/>
      <c r="F89" s="74" t="s">
        <v>241</v>
      </c>
      <c r="G89" s="252"/>
      <c r="H89" s="256"/>
      <c r="I89" s="268"/>
      <c r="J89" s="18"/>
      <c r="K89" s="19">
        <v>39411.04</v>
      </c>
      <c r="L89" s="20">
        <f>SUM(J89:K89)</f>
        <v>39411.04</v>
      </c>
      <c r="M89" s="252"/>
      <c r="N89" s="256"/>
      <c r="O89" s="224"/>
    </row>
    <row r="90" spans="1:15" ht="13.5" thickBot="1">
      <c r="A90" s="171" t="s">
        <v>242</v>
      </c>
      <c r="B90" s="172"/>
      <c r="C90" s="172"/>
      <c r="D90" s="178"/>
      <c r="E90" s="179"/>
      <c r="F90" s="179"/>
      <c r="G90" s="180">
        <f aca="true" t="shared" si="7" ref="G90:O90">G91</f>
        <v>390</v>
      </c>
      <c r="H90" s="181">
        <f t="shared" si="7"/>
        <v>10000</v>
      </c>
      <c r="I90" s="182">
        <f t="shared" si="7"/>
        <v>10390</v>
      </c>
      <c r="J90" s="183">
        <f t="shared" si="7"/>
        <v>384</v>
      </c>
      <c r="K90" s="181">
        <f t="shared" si="7"/>
        <v>0</v>
      </c>
      <c r="L90" s="182">
        <f t="shared" si="7"/>
        <v>384</v>
      </c>
      <c r="M90" s="180">
        <f t="shared" si="7"/>
        <v>6</v>
      </c>
      <c r="N90" s="181">
        <f t="shared" si="7"/>
        <v>10000</v>
      </c>
      <c r="O90" s="182">
        <f t="shared" si="7"/>
        <v>10006</v>
      </c>
    </row>
    <row r="91" spans="1:15" ht="34.5" customHeight="1" thickBot="1">
      <c r="A91" s="75" t="s">
        <v>243</v>
      </c>
      <c r="B91" s="76" t="s">
        <v>210</v>
      </c>
      <c r="C91" s="76" t="s">
        <v>244</v>
      </c>
      <c r="D91" s="77"/>
      <c r="E91" s="78"/>
      <c r="F91" s="119" t="s">
        <v>245</v>
      </c>
      <c r="G91" s="81">
        <v>390</v>
      </c>
      <c r="H91" s="80">
        <v>10000</v>
      </c>
      <c r="I91" s="49">
        <f>SUM(G91:H91)</f>
        <v>10390</v>
      </c>
      <c r="J91" s="79">
        <v>384</v>
      </c>
      <c r="K91" s="80"/>
      <c r="L91" s="49">
        <f>SUM(J91:K91)</f>
        <v>384</v>
      </c>
      <c r="M91" s="81">
        <f>G90-J90</f>
        <v>6</v>
      </c>
      <c r="N91" s="199">
        <f>H90-K90</f>
        <v>10000</v>
      </c>
      <c r="O91" s="49">
        <f>SUM(M91:N91)</f>
        <v>10006</v>
      </c>
    </row>
    <row r="92" spans="1:15" ht="13.5" thickBot="1">
      <c r="A92" s="171" t="s">
        <v>246</v>
      </c>
      <c r="B92" s="172"/>
      <c r="C92" s="172"/>
      <c r="D92" s="178"/>
      <c r="E92" s="179"/>
      <c r="F92" s="179"/>
      <c r="G92" s="180">
        <f>G93</f>
        <v>34158</v>
      </c>
      <c r="H92" s="181">
        <f>H93</f>
        <v>5620</v>
      </c>
      <c r="I92" s="182">
        <f>I93</f>
        <v>39778</v>
      </c>
      <c r="J92" s="183">
        <f>SUM(J93:J109)</f>
        <v>34121.67</v>
      </c>
      <c r="K92" s="181">
        <f>SUM(K93:K109)</f>
        <v>900</v>
      </c>
      <c r="L92" s="182">
        <f>SUM(L93:L109)</f>
        <v>35021.67</v>
      </c>
      <c r="M92" s="180">
        <f>M93</f>
        <v>36.330000000001746</v>
      </c>
      <c r="N92" s="181">
        <f>N93</f>
        <v>4720</v>
      </c>
      <c r="O92" s="182">
        <f>O93</f>
        <v>4756.330000000002</v>
      </c>
    </row>
    <row r="93" spans="1:15" ht="35.25" customHeight="1">
      <c r="A93" s="258" t="s">
        <v>247</v>
      </c>
      <c r="B93" s="281" t="s">
        <v>210</v>
      </c>
      <c r="C93" s="281" t="s">
        <v>248</v>
      </c>
      <c r="D93" s="283"/>
      <c r="E93" s="215"/>
      <c r="F93" s="90" t="s">
        <v>423</v>
      </c>
      <c r="G93" s="250">
        <v>34158</v>
      </c>
      <c r="H93" s="254">
        <v>5620</v>
      </c>
      <c r="I93" s="267">
        <f>SUM(G93:H109)</f>
        <v>39778</v>
      </c>
      <c r="J93" s="12">
        <v>882.54</v>
      </c>
      <c r="K93" s="13"/>
      <c r="L93" s="21">
        <f aca="true" t="shared" si="8" ref="L93:L109">SUM(J93:K93)</f>
        <v>882.54</v>
      </c>
      <c r="M93" s="250">
        <f>G92-J92</f>
        <v>36.330000000001746</v>
      </c>
      <c r="N93" s="254">
        <f>H92-K92</f>
        <v>4720</v>
      </c>
      <c r="O93" s="222">
        <f>SUM(M93:N109)</f>
        <v>4756.330000000002</v>
      </c>
    </row>
    <row r="94" spans="1:15" ht="12.75">
      <c r="A94" s="220"/>
      <c r="B94" s="260"/>
      <c r="C94" s="260"/>
      <c r="D94" s="241"/>
      <c r="E94" s="216"/>
      <c r="F94" s="91" t="s">
        <v>424</v>
      </c>
      <c r="G94" s="251"/>
      <c r="H94" s="255"/>
      <c r="I94" s="285"/>
      <c r="J94" s="15">
        <v>4155.12</v>
      </c>
      <c r="K94" s="14"/>
      <c r="L94" s="31">
        <f t="shared" si="8"/>
        <v>4155.12</v>
      </c>
      <c r="M94" s="251"/>
      <c r="N94" s="255"/>
      <c r="O94" s="223"/>
    </row>
    <row r="95" spans="1:15" ht="12.75">
      <c r="A95" s="220"/>
      <c r="B95" s="260"/>
      <c r="C95" s="260"/>
      <c r="D95" s="241"/>
      <c r="E95" s="216"/>
      <c r="F95" s="91" t="s">
        <v>425</v>
      </c>
      <c r="G95" s="251"/>
      <c r="H95" s="255"/>
      <c r="I95" s="285"/>
      <c r="J95" s="15">
        <v>4926.13</v>
      </c>
      <c r="K95" s="14"/>
      <c r="L95" s="31">
        <f t="shared" si="8"/>
        <v>4926.13</v>
      </c>
      <c r="M95" s="251"/>
      <c r="N95" s="255"/>
      <c r="O95" s="223"/>
    </row>
    <row r="96" spans="1:15" ht="12.75">
      <c r="A96" s="220"/>
      <c r="B96" s="260"/>
      <c r="C96" s="260"/>
      <c r="D96" s="241"/>
      <c r="E96" s="216"/>
      <c r="F96" s="91" t="s">
        <v>426</v>
      </c>
      <c r="G96" s="251"/>
      <c r="H96" s="255"/>
      <c r="I96" s="285"/>
      <c r="J96" s="15">
        <v>3227</v>
      </c>
      <c r="K96" s="14"/>
      <c r="L96" s="31">
        <f t="shared" si="8"/>
        <v>3227</v>
      </c>
      <c r="M96" s="251"/>
      <c r="N96" s="255"/>
      <c r="O96" s="223"/>
    </row>
    <row r="97" spans="1:15" ht="12.75">
      <c r="A97" s="220"/>
      <c r="B97" s="260"/>
      <c r="C97" s="260"/>
      <c r="D97" s="241"/>
      <c r="E97" s="216"/>
      <c r="F97" s="91" t="s">
        <v>427</v>
      </c>
      <c r="G97" s="251"/>
      <c r="H97" s="255"/>
      <c r="I97" s="285"/>
      <c r="J97" s="15">
        <v>4334.21</v>
      </c>
      <c r="K97" s="14"/>
      <c r="L97" s="31">
        <f t="shared" si="8"/>
        <v>4334.21</v>
      </c>
      <c r="M97" s="251"/>
      <c r="N97" s="255"/>
      <c r="O97" s="223"/>
    </row>
    <row r="98" spans="1:15" ht="12.75">
      <c r="A98" s="220"/>
      <c r="B98" s="260"/>
      <c r="C98" s="260"/>
      <c r="D98" s="241"/>
      <c r="E98" s="216"/>
      <c r="F98" s="91" t="s">
        <v>428</v>
      </c>
      <c r="G98" s="251"/>
      <c r="H98" s="255"/>
      <c r="I98" s="285"/>
      <c r="J98" s="15">
        <v>4178.39</v>
      </c>
      <c r="K98" s="14"/>
      <c r="L98" s="31">
        <f t="shared" si="8"/>
        <v>4178.39</v>
      </c>
      <c r="M98" s="251"/>
      <c r="N98" s="255"/>
      <c r="O98" s="223"/>
    </row>
    <row r="99" spans="1:15" ht="12.75">
      <c r="A99" s="220"/>
      <c r="B99" s="260"/>
      <c r="C99" s="260"/>
      <c r="D99" s="241"/>
      <c r="E99" s="216"/>
      <c r="F99" s="91" t="s">
        <v>767</v>
      </c>
      <c r="G99" s="251"/>
      <c r="H99" s="255"/>
      <c r="I99" s="285"/>
      <c r="J99" s="15">
        <v>4148.8</v>
      </c>
      <c r="K99" s="14"/>
      <c r="L99" s="31">
        <f t="shared" si="8"/>
        <v>4148.8</v>
      </c>
      <c r="M99" s="251"/>
      <c r="N99" s="255"/>
      <c r="O99" s="223"/>
    </row>
    <row r="100" spans="1:15" ht="12.75">
      <c r="A100" s="220"/>
      <c r="B100" s="260"/>
      <c r="C100" s="260"/>
      <c r="D100" s="241"/>
      <c r="E100" s="216"/>
      <c r="F100" s="91" t="s">
        <v>768</v>
      </c>
      <c r="G100" s="251"/>
      <c r="H100" s="255"/>
      <c r="I100" s="285"/>
      <c r="J100" s="15">
        <v>4227.52</v>
      </c>
      <c r="K100" s="14"/>
      <c r="L100" s="31">
        <f t="shared" si="8"/>
        <v>4227.52</v>
      </c>
      <c r="M100" s="251"/>
      <c r="N100" s="255"/>
      <c r="O100" s="223"/>
    </row>
    <row r="101" spans="1:15" ht="12.75">
      <c r="A101" s="220"/>
      <c r="B101" s="260"/>
      <c r="C101" s="260"/>
      <c r="D101" s="241"/>
      <c r="E101" s="216"/>
      <c r="F101" s="91" t="s">
        <v>769</v>
      </c>
      <c r="G101" s="251"/>
      <c r="H101" s="255"/>
      <c r="I101" s="285"/>
      <c r="J101" s="15">
        <v>3963.24</v>
      </c>
      <c r="K101" s="14"/>
      <c r="L101" s="31">
        <f t="shared" si="8"/>
        <v>3963.24</v>
      </c>
      <c r="M101" s="251"/>
      <c r="N101" s="255"/>
      <c r="O101" s="223"/>
    </row>
    <row r="102" spans="1:15" ht="12.75">
      <c r="A102" s="220"/>
      <c r="B102" s="260"/>
      <c r="C102" s="260"/>
      <c r="D102" s="241"/>
      <c r="E102" s="216"/>
      <c r="F102" s="91" t="s">
        <v>770</v>
      </c>
      <c r="G102" s="251"/>
      <c r="H102" s="255"/>
      <c r="I102" s="285"/>
      <c r="J102" s="15">
        <v>78.72</v>
      </c>
      <c r="K102" s="14"/>
      <c r="L102" s="31">
        <f t="shared" si="8"/>
        <v>78.72</v>
      </c>
      <c r="M102" s="251"/>
      <c r="N102" s="255"/>
      <c r="O102" s="223"/>
    </row>
    <row r="103" spans="1:15" ht="48">
      <c r="A103" s="220"/>
      <c r="B103" s="260"/>
      <c r="C103" s="260"/>
      <c r="D103" s="241"/>
      <c r="E103" s="216"/>
      <c r="F103" s="91" t="s">
        <v>429</v>
      </c>
      <c r="G103" s="251"/>
      <c r="H103" s="255"/>
      <c r="I103" s="285"/>
      <c r="J103" s="15"/>
      <c r="K103" s="14">
        <v>120</v>
      </c>
      <c r="L103" s="31">
        <f t="shared" si="8"/>
        <v>120</v>
      </c>
      <c r="M103" s="251"/>
      <c r="N103" s="255"/>
      <c r="O103" s="223"/>
    </row>
    <row r="104" spans="1:15" ht="12.75">
      <c r="A104" s="220"/>
      <c r="B104" s="260"/>
      <c r="C104" s="260"/>
      <c r="D104" s="241"/>
      <c r="E104" s="216"/>
      <c r="F104" s="91" t="s">
        <v>430</v>
      </c>
      <c r="G104" s="251"/>
      <c r="H104" s="255"/>
      <c r="I104" s="285"/>
      <c r="J104" s="15"/>
      <c r="K104" s="14">
        <v>240</v>
      </c>
      <c r="L104" s="31">
        <f t="shared" si="8"/>
        <v>240</v>
      </c>
      <c r="M104" s="251"/>
      <c r="N104" s="255"/>
      <c r="O104" s="223"/>
    </row>
    <row r="105" spans="1:15" ht="12.75">
      <c r="A105" s="220"/>
      <c r="B105" s="260"/>
      <c r="C105" s="260"/>
      <c r="D105" s="241"/>
      <c r="E105" s="216"/>
      <c r="F105" s="91" t="s">
        <v>431</v>
      </c>
      <c r="G105" s="251"/>
      <c r="H105" s="255"/>
      <c r="I105" s="285"/>
      <c r="J105" s="15"/>
      <c r="K105" s="14">
        <v>108</v>
      </c>
      <c r="L105" s="31">
        <f t="shared" si="8"/>
        <v>108</v>
      </c>
      <c r="M105" s="251"/>
      <c r="N105" s="255"/>
      <c r="O105" s="223"/>
    </row>
    <row r="106" spans="1:15" ht="12.75">
      <c r="A106" s="220"/>
      <c r="B106" s="260"/>
      <c r="C106" s="260"/>
      <c r="D106" s="241"/>
      <c r="E106" s="216"/>
      <c r="F106" s="91" t="s">
        <v>432</v>
      </c>
      <c r="G106" s="251"/>
      <c r="H106" s="255"/>
      <c r="I106" s="285"/>
      <c r="J106" s="15"/>
      <c r="K106" s="14">
        <v>108</v>
      </c>
      <c r="L106" s="31">
        <f t="shared" si="8"/>
        <v>108</v>
      </c>
      <c r="M106" s="251"/>
      <c r="N106" s="255"/>
      <c r="O106" s="223"/>
    </row>
    <row r="107" spans="1:15" ht="12.75">
      <c r="A107" s="220"/>
      <c r="B107" s="260"/>
      <c r="C107" s="260"/>
      <c r="D107" s="241"/>
      <c r="E107" s="216"/>
      <c r="F107" s="91" t="s">
        <v>432</v>
      </c>
      <c r="G107" s="251"/>
      <c r="H107" s="255"/>
      <c r="I107" s="285"/>
      <c r="J107" s="15"/>
      <c r="K107" s="14">
        <v>108</v>
      </c>
      <c r="L107" s="31">
        <f t="shared" si="8"/>
        <v>108</v>
      </c>
      <c r="M107" s="251"/>
      <c r="N107" s="255"/>
      <c r="O107" s="223"/>
    </row>
    <row r="108" spans="1:15" ht="12.75">
      <c r="A108" s="220"/>
      <c r="B108" s="260"/>
      <c r="C108" s="260"/>
      <c r="D108" s="241"/>
      <c r="E108" s="216"/>
      <c r="F108" s="91" t="s">
        <v>432</v>
      </c>
      <c r="G108" s="251"/>
      <c r="H108" s="255"/>
      <c r="I108" s="285"/>
      <c r="J108" s="15"/>
      <c r="K108" s="14">
        <v>108</v>
      </c>
      <c r="L108" s="31">
        <f t="shared" si="8"/>
        <v>108</v>
      </c>
      <c r="M108" s="251"/>
      <c r="N108" s="255"/>
      <c r="O108" s="223"/>
    </row>
    <row r="109" spans="1:15" ht="13.5" thickBot="1">
      <c r="A109" s="221"/>
      <c r="B109" s="282"/>
      <c r="C109" s="282"/>
      <c r="D109" s="284"/>
      <c r="E109" s="217"/>
      <c r="F109" s="74" t="s">
        <v>432</v>
      </c>
      <c r="G109" s="252"/>
      <c r="H109" s="256"/>
      <c r="I109" s="268"/>
      <c r="J109" s="18"/>
      <c r="K109" s="19">
        <v>108</v>
      </c>
      <c r="L109" s="20">
        <f t="shared" si="8"/>
        <v>108</v>
      </c>
      <c r="M109" s="252"/>
      <c r="N109" s="256"/>
      <c r="O109" s="224"/>
    </row>
    <row r="110" spans="1:15" ht="13.5" thickBot="1">
      <c r="A110" s="171" t="s">
        <v>249</v>
      </c>
      <c r="B110" s="172"/>
      <c r="C110" s="172"/>
      <c r="D110" s="178"/>
      <c r="E110" s="179"/>
      <c r="F110" s="179"/>
      <c r="G110" s="180">
        <f>G111</f>
        <v>31888</v>
      </c>
      <c r="H110" s="181">
        <f>H111</f>
        <v>2000</v>
      </c>
      <c r="I110" s="182">
        <f>I111</f>
        <v>33888</v>
      </c>
      <c r="J110" s="183">
        <f>SUM(J111:J129)</f>
        <v>27518</v>
      </c>
      <c r="K110" s="181">
        <f>SUM(K111:K129)</f>
        <v>0</v>
      </c>
      <c r="L110" s="182">
        <f>SUM(L111:L129)</f>
        <v>27518</v>
      </c>
      <c r="M110" s="180">
        <f>M111</f>
        <v>4370</v>
      </c>
      <c r="N110" s="181">
        <f>N111</f>
        <v>2000</v>
      </c>
      <c r="O110" s="182">
        <f>O111</f>
        <v>6370</v>
      </c>
    </row>
    <row r="111" spans="1:15" ht="22.5">
      <c r="A111" s="258" t="s">
        <v>250</v>
      </c>
      <c r="B111" s="281" t="s">
        <v>210</v>
      </c>
      <c r="C111" s="281" t="s">
        <v>348</v>
      </c>
      <c r="D111" s="283"/>
      <c r="E111" s="215"/>
      <c r="F111" s="91" t="s">
        <v>771</v>
      </c>
      <c r="G111" s="334">
        <v>31888</v>
      </c>
      <c r="H111" s="337">
        <v>2000</v>
      </c>
      <c r="I111" s="267">
        <f>SUM(G111:H129)</f>
        <v>33888</v>
      </c>
      <c r="J111" s="12">
        <v>2400</v>
      </c>
      <c r="K111" s="13"/>
      <c r="L111" s="21">
        <f aca="true" t="shared" si="9" ref="L111:L130">SUM(J111:K111)</f>
        <v>2400</v>
      </c>
      <c r="M111" s="263">
        <f>G110-J110</f>
        <v>4370</v>
      </c>
      <c r="N111" s="265">
        <f>H110-K110</f>
        <v>2000</v>
      </c>
      <c r="O111" s="267">
        <f>SUM(M111:N129)</f>
        <v>6370</v>
      </c>
    </row>
    <row r="112" spans="1:15" ht="12.75">
      <c r="A112" s="220"/>
      <c r="B112" s="260"/>
      <c r="C112" s="260"/>
      <c r="D112" s="241"/>
      <c r="E112" s="216"/>
      <c r="F112" s="91" t="s">
        <v>433</v>
      </c>
      <c r="G112" s="335"/>
      <c r="H112" s="338"/>
      <c r="I112" s="285"/>
      <c r="J112" s="15">
        <v>2400</v>
      </c>
      <c r="K112" s="14"/>
      <c r="L112" s="31">
        <f t="shared" si="9"/>
        <v>2400</v>
      </c>
      <c r="M112" s="287"/>
      <c r="N112" s="286"/>
      <c r="O112" s="285"/>
    </row>
    <row r="113" spans="1:15" ht="12.75">
      <c r="A113" s="220"/>
      <c r="B113" s="260"/>
      <c r="C113" s="260"/>
      <c r="D113" s="241"/>
      <c r="E113" s="216"/>
      <c r="F113" s="91" t="s">
        <v>433</v>
      </c>
      <c r="G113" s="335"/>
      <c r="H113" s="338"/>
      <c r="I113" s="285"/>
      <c r="J113" s="15">
        <v>2400</v>
      </c>
      <c r="K113" s="14"/>
      <c r="L113" s="31">
        <f t="shared" si="9"/>
        <v>2400</v>
      </c>
      <c r="M113" s="287"/>
      <c r="N113" s="286"/>
      <c r="O113" s="285"/>
    </row>
    <row r="114" spans="1:15" ht="12.75">
      <c r="A114" s="220"/>
      <c r="B114" s="260"/>
      <c r="C114" s="260"/>
      <c r="D114" s="241"/>
      <c r="E114" s="216"/>
      <c r="F114" s="91" t="s">
        <v>433</v>
      </c>
      <c r="G114" s="335"/>
      <c r="H114" s="338"/>
      <c r="I114" s="285"/>
      <c r="J114" s="15">
        <v>2400</v>
      </c>
      <c r="K114" s="14"/>
      <c r="L114" s="31">
        <f t="shared" si="9"/>
        <v>2400</v>
      </c>
      <c r="M114" s="287"/>
      <c r="N114" s="286"/>
      <c r="O114" s="285"/>
    </row>
    <row r="115" spans="1:15" ht="12.75">
      <c r="A115" s="220"/>
      <c r="B115" s="260"/>
      <c r="C115" s="260"/>
      <c r="D115" s="241"/>
      <c r="E115" s="216"/>
      <c r="F115" s="91" t="s">
        <v>433</v>
      </c>
      <c r="G115" s="335"/>
      <c r="H115" s="338"/>
      <c r="I115" s="285"/>
      <c r="J115" s="15">
        <v>2400</v>
      </c>
      <c r="K115" s="14"/>
      <c r="L115" s="31">
        <f t="shared" si="9"/>
        <v>2400</v>
      </c>
      <c r="M115" s="287"/>
      <c r="N115" s="286"/>
      <c r="O115" s="285"/>
    </row>
    <row r="116" spans="1:15" ht="12.75">
      <c r="A116" s="220"/>
      <c r="B116" s="260"/>
      <c r="C116" s="260"/>
      <c r="D116" s="241"/>
      <c r="E116" s="216"/>
      <c r="F116" s="91" t="s">
        <v>433</v>
      </c>
      <c r="G116" s="335"/>
      <c r="H116" s="338"/>
      <c r="I116" s="285"/>
      <c r="J116" s="15">
        <v>2400</v>
      </c>
      <c r="K116" s="14"/>
      <c r="L116" s="31">
        <f t="shared" si="9"/>
        <v>2400</v>
      </c>
      <c r="M116" s="287"/>
      <c r="N116" s="286"/>
      <c r="O116" s="285"/>
    </row>
    <row r="117" spans="1:15" ht="12.75">
      <c r="A117" s="220"/>
      <c r="B117" s="260"/>
      <c r="C117" s="260"/>
      <c r="D117" s="241"/>
      <c r="E117" s="216"/>
      <c r="F117" s="91" t="s">
        <v>433</v>
      </c>
      <c r="G117" s="335"/>
      <c r="H117" s="338"/>
      <c r="I117" s="285"/>
      <c r="J117" s="15">
        <v>2400</v>
      </c>
      <c r="K117" s="14"/>
      <c r="L117" s="31">
        <f t="shared" si="9"/>
        <v>2400</v>
      </c>
      <c r="M117" s="287"/>
      <c r="N117" s="286"/>
      <c r="O117" s="285"/>
    </row>
    <row r="118" spans="1:15" ht="12.75">
      <c r="A118" s="220"/>
      <c r="B118" s="260"/>
      <c r="C118" s="260"/>
      <c r="D118" s="241"/>
      <c r="E118" s="216"/>
      <c r="F118" s="91" t="s">
        <v>433</v>
      </c>
      <c r="G118" s="335"/>
      <c r="H118" s="338"/>
      <c r="I118" s="285"/>
      <c r="J118" s="15">
        <v>2400</v>
      </c>
      <c r="K118" s="14"/>
      <c r="L118" s="31">
        <f t="shared" si="9"/>
        <v>2400</v>
      </c>
      <c r="M118" s="287"/>
      <c r="N118" s="286"/>
      <c r="O118" s="285"/>
    </row>
    <row r="119" spans="1:15" ht="12.75">
      <c r="A119" s="220"/>
      <c r="B119" s="260"/>
      <c r="C119" s="260"/>
      <c r="D119" s="241"/>
      <c r="E119" s="216"/>
      <c r="F119" s="91" t="s">
        <v>433</v>
      </c>
      <c r="G119" s="335"/>
      <c r="H119" s="338"/>
      <c r="I119" s="285"/>
      <c r="J119" s="15">
        <v>2400</v>
      </c>
      <c r="K119" s="14"/>
      <c r="L119" s="31">
        <f t="shared" si="9"/>
        <v>2400</v>
      </c>
      <c r="M119" s="287"/>
      <c r="N119" s="286"/>
      <c r="O119" s="285"/>
    </row>
    <row r="120" spans="1:15" ht="22.5">
      <c r="A120" s="220"/>
      <c r="B120" s="260"/>
      <c r="C120" s="260"/>
      <c r="D120" s="241"/>
      <c r="E120" s="216"/>
      <c r="F120" s="91" t="s">
        <v>434</v>
      </c>
      <c r="G120" s="335"/>
      <c r="H120" s="338"/>
      <c r="I120" s="285"/>
      <c r="J120" s="15">
        <v>199</v>
      </c>
      <c r="K120" s="14"/>
      <c r="L120" s="31">
        <f t="shared" si="9"/>
        <v>199</v>
      </c>
      <c r="M120" s="287"/>
      <c r="N120" s="286"/>
      <c r="O120" s="285"/>
    </row>
    <row r="121" spans="1:15" ht="12.75">
      <c r="A121" s="220"/>
      <c r="B121" s="260"/>
      <c r="C121" s="260"/>
      <c r="D121" s="241"/>
      <c r="E121" s="216"/>
      <c r="F121" s="91" t="s">
        <v>435</v>
      </c>
      <c r="G121" s="335"/>
      <c r="H121" s="338"/>
      <c r="I121" s="285"/>
      <c r="J121" s="15">
        <v>199</v>
      </c>
      <c r="K121" s="14"/>
      <c r="L121" s="31">
        <f t="shared" si="9"/>
        <v>199</v>
      </c>
      <c r="M121" s="287"/>
      <c r="N121" s="286"/>
      <c r="O121" s="285"/>
    </row>
    <row r="122" spans="1:15" ht="22.5">
      <c r="A122" s="220"/>
      <c r="B122" s="260"/>
      <c r="C122" s="260"/>
      <c r="D122" s="241"/>
      <c r="E122" s="216"/>
      <c r="F122" s="91" t="s">
        <v>436</v>
      </c>
      <c r="G122" s="335"/>
      <c r="H122" s="338"/>
      <c r="I122" s="285"/>
      <c r="J122" s="15">
        <v>690</v>
      </c>
      <c r="K122" s="14"/>
      <c r="L122" s="31">
        <f t="shared" si="9"/>
        <v>690</v>
      </c>
      <c r="M122" s="287"/>
      <c r="N122" s="286"/>
      <c r="O122" s="285"/>
    </row>
    <row r="123" spans="1:15" ht="12.75">
      <c r="A123" s="220"/>
      <c r="B123" s="260"/>
      <c r="C123" s="260"/>
      <c r="D123" s="241"/>
      <c r="E123" s="216"/>
      <c r="F123" s="91" t="s">
        <v>437</v>
      </c>
      <c r="G123" s="335"/>
      <c r="H123" s="338"/>
      <c r="I123" s="285"/>
      <c r="J123" s="15">
        <v>690</v>
      </c>
      <c r="K123" s="14"/>
      <c r="L123" s="31">
        <f t="shared" si="9"/>
        <v>690</v>
      </c>
      <c r="M123" s="287"/>
      <c r="N123" s="286"/>
      <c r="O123" s="285"/>
    </row>
    <row r="124" spans="1:15" ht="12.75">
      <c r="A124" s="220"/>
      <c r="B124" s="260"/>
      <c r="C124" s="260"/>
      <c r="D124" s="241"/>
      <c r="E124" s="216"/>
      <c r="F124" s="91" t="s">
        <v>438</v>
      </c>
      <c r="G124" s="335"/>
      <c r="H124" s="338"/>
      <c r="I124" s="285"/>
      <c r="J124" s="15">
        <v>690</v>
      </c>
      <c r="K124" s="14"/>
      <c r="L124" s="31">
        <f t="shared" si="9"/>
        <v>690</v>
      </c>
      <c r="M124" s="287"/>
      <c r="N124" s="286"/>
      <c r="O124" s="285"/>
    </row>
    <row r="125" spans="1:15" ht="12.75">
      <c r="A125" s="220"/>
      <c r="B125" s="260"/>
      <c r="C125" s="260"/>
      <c r="D125" s="241"/>
      <c r="E125" s="216"/>
      <c r="F125" s="91" t="s">
        <v>439</v>
      </c>
      <c r="G125" s="335"/>
      <c r="H125" s="338"/>
      <c r="I125" s="285"/>
      <c r="J125" s="15">
        <v>690</v>
      </c>
      <c r="K125" s="14"/>
      <c r="L125" s="31">
        <f t="shared" si="9"/>
        <v>690</v>
      </c>
      <c r="M125" s="287"/>
      <c r="N125" s="286"/>
      <c r="O125" s="285"/>
    </row>
    <row r="126" spans="1:15" ht="12.75">
      <c r="A126" s="220"/>
      <c r="B126" s="260"/>
      <c r="C126" s="260"/>
      <c r="D126" s="241"/>
      <c r="E126" s="216"/>
      <c r="F126" s="91" t="s">
        <v>439</v>
      </c>
      <c r="G126" s="335"/>
      <c r="H126" s="338"/>
      <c r="I126" s="285"/>
      <c r="J126" s="15">
        <v>690</v>
      </c>
      <c r="K126" s="14"/>
      <c r="L126" s="31">
        <f t="shared" si="9"/>
        <v>690</v>
      </c>
      <c r="M126" s="287"/>
      <c r="N126" s="286"/>
      <c r="O126" s="285"/>
    </row>
    <row r="127" spans="1:15" ht="12.75">
      <c r="A127" s="220"/>
      <c r="B127" s="260"/>
      <c r="C127" s="260"/>
      <c r="D127" s="241"/>
      <c r="E127" s="216"/>
      <c r="F127" s="91" t="s">
        <v>438</v>
      </c>
      <c r="G127" s="335"/>
      <c r="H127" s="338"/>
      <c r="I127" s="285"/>
      <c r="J127" s="15">
        <v>690</v>
      </c>
      <c r="K127" s="14"/>
      <c r="L127" s="31">
        <f t="shared" si="9"/>
        <v>690</v>
      </c>
      <c r="M127" s="287"/>
      <c r="N127" s="286"/>
      <c r="O127" s="285"/>
    </row>
    <row r="128" spans="1:15" ht="12.75">
      <c r="A128" s="220"/>
      <c r="B128" s="260"/>
      <c r="C128" s="260"/>
      <c r="D128" s="241"/>
      <c r="E128" s="216"/>
      <c r="F128" s="91" t="s">
        <v>437</v>
      </c>
      <c r="G128" s="335"/>
      <c r="H128" s="338"/>
      <c r="I128" s="285"/>
      <c r="J128" s="15">
        <v>690</v>
      </c>
      <c r="K128" s="14"/>
      <c r="L128" s="31">
        <f t="shared" si="9"/>
        <v>690</v>
      </c>
      <c r="M128" s="287"/>
      <c r="N128" s="286"/>
      <c r="O128" s="285"/>
    </row>
    <row r="129" spans="1:15" ht="12.75">
      <c r="A129" s="220"/>
      <c r="B129" s="260"/>
      <c r="C129" s="260"/>
      <c r="D129" s="241"/>
      <c r="E129" s="216"/>
      <c r="F129" s="91" t="s">
        <v>440</v>
      </c>
      <c r="G129" s="335"/>
      <c r="H129" s="338"/>
      <c r="I129" s="285"/>
      <c r="J129" s="15">
        <v>690</v>
      </c>
      <c r="K129" s="14"/>
      <c r="L129" s="31">
        <f t="shared" si="9"/>
        <v>690</v>
      </c>
      <c r="M129" s="287"/>
      <c r="N129" s="286"/>
      <c r="O129" s="285"/>
    </row>
    <row r="130" spans="1:15" ht="13.5" thickBot="1">
      <c r="A130" s="221"/>
      <c r="B130" s="282"/>
      <c r="C130" s="282"/>
      <c r="D130" s="284"/>
      <c r="E130" s="217"/>
      <c r="F130" s="91" t="s">
        <v>437</v>
      </c>
      <c r="G130" s="336"/>
      <c r="H130" s="339"/>
      <c r="I130" s="268"/>
      <c r="J130" s="15">
        <v>690</v>
      </c>
      <c r="K130" s="14"/>
      <c r="L130" s="31">
        <f t="shared" si="9"/>
        <v>690</v>
      </c>
      <c r="M130" s="264"/>
      <c r="N130" s="266"/>
      <c r="O130" s="268"/>
    </row>
    <row r="131" spans="1:15" ht="13.5" thickBot="1">
      <c r="A131" s="171" t="s">
        <v>251</v>
      </c>
      <c r="B131" s="172"/>
      <c r="C131" s="172"/>
      <c r="D131" s="178"/>
      <c r="E131" s="179"/>
      <c r="F131" s="179"/>
      <c r="G131" s="180">
        <f>SUM(G132)</f>
        <v>4010</v>
      </c>
      <c r="H131" s="181">
        <f>SUM(H132)</f>
        <v>5000</v>
      </c>
      <c r="I131" s="182">
        <f>SUM(I132)</f>
        <v>9010</v>
      </c>
      <c r="J131" s="183">
        <f>SUM(J132:J141)</f>
        <v>1920</v>
      </c>
      <c r="K131" s="181">
        <f>SUM(K132:K141)</f>
        <v>0</v>
      </c>
      <c r="L131" s="182">
        <f>SUM(L132:L141)</f>
        <v>1920</v>
      </c>
      <c r="M131" s="180">
        <f>SUM(M132)</f>
        <v>2090</v>
      </c>
      <c r="N131" s="181">
        <f>SUM(N132)</f>
        <v>5000</v>
      </c>
      <c r="O131" s="182">
        <f>SUM(O132)</f>
        <v>7090</v>
      </c>
    </row>
    <row r="132" spans="1:15" ht="22.5">
      <c r="A132" s="258" t="s">
        <v>252</v>
      </c>
      <c r="B132" s="281" t="s">
        <v>210</v>
      </c>
      <c r="C132" s="281" t="s">
        <v>349</v>
      </c>
      <c r="D132" s="283"/>
      <c r="E132" s="215"/>
      <c r="F132" s="90" t="s">
        <v>441</v>
      </c>
      <c r="G132" s="236">
        <f>12670-1500-7160</f>
        <v>4010</v>
      </c>
      <c r="H132" s="254">
        <v>5000</v>
      </c>
      <c r="I132" s="267">
        <f>SUM(G132:H141)</f>
        <v>9010</v>
      </c>
      <c r="J132" s="85">
        <v>180</v>
      </c>
      <c r="K132" s="13"/>
      <c r="L132" s="21">
        <f aca="true" t="shared" si="10" ref="L132:L141">SUM(J132:K132)</f>
        <v>180</v>
      </c>
      <c r="M132" s="236">
        <f>G131-J131</f>
        <v>2090</v>
      </c>
      <c r="N132" s="229">
        <f>H131-K131</f>
        <v>5000</v>
      </c>
      <c r="O132" s="222">
        <f>SUM(M132:N141)</f>
        <v>7090</v>
      </c>
    </row>
    <row r="133" spans="1:15" ht="12.75">
      <c r="A133" s="220"/>
      <c r="B133" s="260"/>
      <c r="C133" s="260"/>
      <c r="D133" s="241"/>
      <c r="E133" s="216"/>
      <c r="F133" s="91" t="s">
        <v>442</v>
      </c>
      <c r="G133" s="289"/>
      <c r="H133" s="255"/>
      <c r="I133" s="285"/>
      <c r="J133" s="87">
        <v>180</v>
      </c>
      <c r="K133" s="14"/>
      <c r="L133" s="31">
        <f t="shared" si="10"/>
        <v>180</v>
      </c>
      <c r="M133" s="289"/>
      <c r="N133" s="231"/>
      <c r="O133" s="223"/>
    </row>
    <row r="134" spans="1:15" ht="12.75">
      <c r="A134" s="220"/>
      <c r="B134" s="260"/>
      <c r="C134" s="260"/>
      <c r="D134" s="241"/>
      <c r="E134" s="216"/>
      <c r="F134" s="91" t="s">
        <v>443</v>
      </c>
      <c r="G134" s="289"/>
      <c r="H134" s="255"/>
      <c r="I134" s="285"/>
      <c r="J134" s="87">
        <v>180</v>
      </c>
      <c r="K134" s="14"/>
      <c r="L134" s="31">
        <f t="shared" si="10"/>
        <v>180</v>
      </c>
      <c r="M134" s="289"/>
      <c r="N134" s="231"/>
      <c r="O134" s="223"/>
    </row>
    <row r="135" spans="1:15" ht="12.75">
      <c r="A135" s="220"/>
      <c r="B135" s="260"/>
      <c r="C135" s="260"/>
      <c r="D135" s="241"/>
      <c r="E135" s="216"/>
      <c r="F135" s="91" t="s">
        <v>444</v>
      </c>
      <c r="G135" s="289"/>
      <c r="H135" s="255"/>
      <c r="I135" s="285"/>
      <c r="J135" s="87">
        <v>180</v>
      </c>
      <c r="K135" s="14"/>
      <c r="L135" s="31">
        <f t="shared" si="10"/>
        <v>180</v>
      </c>
      <c r="M135" s="289"/>
      <c r="N135" s="231"/>
      <c r="O135" s="223"/>
    </row>
    <row r="136" spans="1:15" ht="12.75">
      <c r="A136" s="220"/>
      <c r="B136" s="260"/>
      <c r="C136" s="260"/>
      <c r="D136" s="241"/>
      <c r="E136" s="216"/>
      <c r="F136" s="91" t="s">
        <v>445</v>
      </c>
      <c r="G136" s="289"/>
      <c r="H136" s="255"/>
      <c r="I136" s="285"/>
      <c r="J136" s="87">
        <v>180</v>
      </c>
      <c r="K136" s="14"/>
      <c r="L136" s="31">
        <f t="shared" si="10"/>
        <v>180</v>
      </c>
      <c r="M136" s="289"/>
      <c r="N136" s="231"/>
      <c r="O136" s="223"/>
    </row>
    <row r="137" spans="1:15" ht="12.75">
      <c r="A137" s="220"/>
      <c r="B137" s="260"/>
      <c r="C137" s="260"/>
      <c r="D137" s="241"/>
      <c r="E137" s="216"/>
      <c r="F137" s="91" t="s">
        <v>445</v>
      </c>
      <c r="G137" s="289"/>
      <c r="H137" s="255"/>
      <c r="I137" s="285"/>
      <c r="J137" s="87">
        <v>180</v>
      </c>
      <c r="K137" s="14"/>
      <c r="L137" s="31">
        <f t="shared" si="10"/>
        <v>180</v>
      </c>
      <c r="M137" s="289"/>
      <c r="N137" s="231"/>
      <c r="O137" s="223"/>
    </row>
    <row r="138" spans="1:15" ht="12.75">
      <c r="A138" s="220"/>
      <c r="B138" s="260"/>
      <c r="C138" s="260"/>
      <c r="D138" s="241"/>
      <c r="E138" s="216"/>
      <c r="F138" s="91" t="s">
        <v>445</v>
      </c>
      <c r="G138" s="289"/>
      <c r="H138" s="255"/>
      <c r="I138" s="285"/>
      <c r="J138" s="87">
        <v>180</v>
      </c>
      <c r="K138" s="14"/>
      <c r="L138" s="31">
        <f t="shared" si="10"/>
        <v>180</v>
      </c>
      <c r="M138" s="289"/>
      <c r="N138" s="231"/>
      <c r="O138" s="223"/>
    </row>
    <row r="139" spans="1:15" ht="12.75">
      <c r="A139" s="220"/>
      <c r="B139" s="260"/>
      <c r="C139" s="260"/>
      <c r="D139" s="241"/>
      <c r="E139" s="216"/>
      <c r="F139" s="91" t="s">
        <v>445</v>
      </c>
      <c r="G139" s="289"/>
      <c r="H139" s="255"/>
      <c r="I139" s="285"/>
      <c r="J139" s="87">
        <v>180</v>
      </c>
      <c r="K139" s="14"/>
      <c r="L139" s="31">
        <f t="shared" si="10"/>
        <v>180</v>
      </c>
      <c r="M139" s="289"/>
      <c r="N139" s="231"/>
      <c r="O139" s="223"/>
    </row>
    <row r="140" spans="1:15" ht="12.75">
      <c r="A140" s="220"/>
      <c r="B140" s="260"/>
      <c r="C140" s="260"/>
      <c r="D140" s="241"/>
      <c r="E140" s="216"/>
      <c r="F140" s="91" t="s">
        <v>445</v>
      </c>
      <c r="G140" s="289"/>
      <c r="H140" s="255"/>
      <c r="I140" s="285"/>
      <c r="J140" s="87">
        <v>180</v>
      </c>
      <c r="K140" s="14"/>
      <c r="L140" s="31">
        <f t="shared" si="10"/>
        <v>180</v>
      </c>
      <c r="M140" s="289"/>
      <c r="N140" s="231"/>
      <c r="O140" s="223"/>
    </row>
    <row r="141" spans="1:15" ht="23.25" thickBot="1">
      <c r="A141" s="221"/>
      <c r="B141" s="282"/>
      <c r="C141" s="282"/>
      <c r="D141" s="284"/>
      <c r="E141" s="217"/>
      <c r="F141" s="74" t="s">
        <v>446</v>
      </c>
      <c r="G141" s="290"/>
      <c r="H141" s="256"/>
      <c r="I141" s="268"/>
      <c r="J141" s="88">
        <v>300</v>
      </c>
      <c r="K141" s="19"/>
      <c r="L141" s="20">
        <f t="shared" si="10"/>
        <v>300</v>
      </c>
      <c r="M141" s="290"/>
      <c r="N141" s="232"/>
      <c r="O141" s="224"/>
    </row>
    <row r="142" spans="1:15" ht="13.5" thickBot="1">
      <c r="A142" s="171" t="s">
        <v>253</v>
      </c>
      <c r="B142" s="172"/>
      <c r="C142" s="172"/>
      <c r="D142" s="178"/>
      <c r="E142" s="179"/>
      <c r="F142" s="179"/>
      <c r="G142" s="180">
        <f>G143</f>
        <v>8108</v>
      </c>
      <c r="H142" s="181">
        <f>H143</f>
        <v>5000</v>
      </c>
      <c r="I142" s="182">
        <f>I143</f>
        <v>13108</v>
      </c>
      <c r="J142" s="183">
        <f>SUM(J143:J153)</f>
        <v>2790</v>
      </c>
      <c r="K142" s="181">
        <f>SUM(K143:K153)</f>
        <v>0</v>
      </c>
      <c r="L142" s="182">
        <f>SUM(L143:L153)</f>
        <v>2790</v>
      </c>
      <c r="M142" s="180">
        <f>M143</f>
        <v>5318</v>
      </c>
      <c r="N142" s="181">
        <f>N143</f>
        <v>5000</v>
      </c>
      <c r="O142" s="182">
        <f>O143</f>
        <v>10318</v>
      </c>
    </row>
    <row r="143" spans="1:15" ht="25.5" customHeight="1">
      <c r="A143" s="258" t="s">
        <v>308</v>
      </c>
      <c r="B143" s="281" t="s">
        <v>210</v>
      </c>
      <c r="C143" s="281" t="s">
        <v>309</v>
      </c>
      <c r="D143" s="283"/>
      <c r="E143" s="215"/>
      <c r="F143" s="90" t="s">
        <v>447</v>
      </c>
      <c r="G143" s="250">
        <v>8108</v>
      </c>
      <c r="H143" s="254">
        <v>5000</v>
      </c>
      <c r="I143" s="267">
        <f>SUM(G143:H153)</f>
        <v>13108</v>
      </c>
      <c r="J143" s="85">
        <v>540</v>
      </c>
      <c r="K143" s="13"/>
      <c r="L143" s="21">
        <f aca="true" t="shared" si="11" ref="L143:L153">SUM(J143:K143)</f>
        <v>540</v>
      </c>
      <c r="M143" s="250">
        <f>G142-J142</f>
        <v>5318</v>
      </c>
      <c r="N143" s="229">
        <f>H142-K142</f>
        <v>5000</v>
      </c>
      <c r="O143" s="222">
        <f>SUM(M143:N153)</f>
        <v>10318</v>
      </c>
    </row>
    <row r="144" spans="1:15" ht="12.75">
      <c r="A144" s="220"/>
      <c r="B144" s="260"/>
      <c r="C144" s="260"/>
      <c r="D144" s="241"/>
      <c r="E144" s="216"/>
      <c r="F144" s="91" t="s">
        <v>448</v>
      </c>
      <c r="G144" s="251"/>
      <c r="H144" s="255"/>
      <c r="I144" s="285"/>
      <c r="J144" s="87">
        <v>90</v>
      </c>
      <c r="K144" s="14"/>
      <c r="L144" s="31">
        <f t="shared" si="11"/>
        <v>90</v>
      </c>
      <c r="M144" s="251"/>
      <c r="N144" s="231"/>
      <c r="O144" s="223"/>
    </row>
    <row r="145" spans="1:15" ht="12.75">
      <c r="A145" s="220"/>
      <c r="B145" s="260"/>
      <c r="C145" s="260"/>
      <c r="D145" s="241"/>
      <c r="E145" s="216"/>
      <c r="F145" s="91" t="s">
        <v>448</v>
      </c>
      <c r="G145" s="251"/>
      <c r="H145" s="255"/>
      <c r="I145" s="285"/>
      <c r="J145" s="87">
        <v>90</v>
      </c>
      <c r="K145" s="14"/>
      <c r="L145" s="31">
        <f t="shared" si="11"/>
        <v>90</v>
      </c>
      <c r="M145" s="251"/>
      <c r="N145" s="231"/>
      <c r="O145" s="223"/>
    </row>
    <row r="146" spans="1:15" ht="12.75">
      <c r="A146" s="220"/>
      <c r="B146" s="260"/>
      <c r="C146" s="260"/>
      <c r="D146" s="241"/>
      <c r="E146" s="216"/>
      <c r="F146" s="91" t="s">
        <v>449</v>
      </c>
      <c r="G146" s="251"/>
      <c r="H146" s="255"/>
      <c r="I146" s="285"/>
      <c r="J146" s="87">
        <v>90</v>
      </c>
      <c r="K146" s="14"/>
      <c r="L146" s="31">
        <f t="shared" si="11"/>
        <v>90</v>
      </c>
      <c r="M146" s="251"/>
      <c r="N146" s="231"/>
      <c r="O146" s="223"/>
    </row>
    <row r="147" spans="1:15" ht="12.75">
      <c r="A147" s="220"/>
      <c r="B147" s="260"/>
      <c r="C147" s="260"/>
      <c r="D147" s="241"/>
      <c r="E147" s="216"/>
      <c r="F147" s="91" t="s">
        <v>448</v>
      </c>
      <c r="G147" s="251"/>
      <c r="H147" s="255"/>
      <c r="I147" s="285"/>
      <c r="J147" s="87">
        <v>90</v>
      </c>
      <c r="K147" s="14"/>
      <c r="L147" s="31">
        <f t="shared" si="11"/>
        <v>90</v>
      </c>
      <c r="M147" s="251"/>
      <c r="N147" s="231"/>
      <c r="O147" s="223"/>
    </row>
    <row r="148" spans="1:15" ht="12.75">
      <c r="A148" s="220"/>
      <c r="B148" s="260"/>
      <c r="C148" s="260"/>
      <c r="D148" s="241"/>
      <c r="E148" s="216"/>
      <c r="F148" s="91" t="s">
        <v>449</v>
      </c>
      <c r="G148" s="251"/>
      <c r="H148" s="255"/>
      <c r="I148" s="285"/>
      <c r="J148" s="87">
        <v>90</v>
      </c>
      <c r="K148" s="14"/>
      <c r="L148" s="31">
        <f t="shared" si="11"/>
        <v>90</v>
      </c>
      <c r="M148" s="251"/>
      <c r="N148" s="231"/>
      <c r="O148" s="223"/>
    </row>
    <row r="149" spans="1:15" ht="12.75">
      <c r="A149" s="220"/>
      <c r="B149" s="260"/>
      <c r="C149" s="260"/>
      <c r="D149" s="241"/>
      <c r="E149" s="216"/>
      <c r="F149" s="91" t="s">
        <v>448</v>
      </c>
      <c r="G149" s="251"/>
      <c r="H149" s="255"/>
      <c r="I149" s="285"/>
      <c r="J149" s="87">
        <v>90</v>
      </c>
      <c r="K149" s="14"/>
      <c r="L149" s="31">
        <f t="shared" si="11"/>
        <v>90</v>
      </c>
      <c r="M149" s="251"/>
      <c r="N149" s="231"/>
      <c r="O149" s="223"/>
    </row>
    <row r="150" spans="1:15" ht="12.75">
      <c r="A150" s="220"/>
      <c r="B150" s="260"/>
      <c r="C150" s="260"/>
      <c r="D150" s="241"/>
      <c r="E150" s="216"/>
      <c r="F150" s="91" t="s">
        <v>450</v>
      </c>
      <c r="G150" s="251"/>
      <c r="H150" s="255"/>
      <c r="I150" s="285"/>
      <c r="J150" s="87">
        <v>90</v>
      </c>
      <c r="K150" s="14"/>
      <c r="L150" s="31">
        <f t="shared" si="11"/>
        <v>90</v>
      </c>
      <c r="M150" s="251"/>
      <c r="N150" s="231"/>
      <c r="O150" s="223"/>
    </row>
    <row r="151" spans="1:15" ht="12.75">
      <c r="A151" s="220"/>
      <c r="B151" s="260"/>
      <c r="C151" s="260"/>
      <c r="D151" s="241"/>
      <c r="E151" s="216"/>
      <c r="F151" s="91" t="s">
        <v>450</v>
      </c>
      <c r="G151" s="251"/>
      <c r="H151" s="255"/>
      <c r="I151" s="285"/>
      <c r="J151" s="87">
        <v>90</v>
      </c>
      <c r="K151" s="14"/>
      <c r="L151" s="31">
        <f t="shared" si="11"/>
        <v>90</v>
      </c>
      <c r="M151" s="251"/>
      <c r="N151" s="231"/>
      <c r="O151" s="223"/>
    </row>
    <row r="152" spans="1:15" ht="12.75">
      <c r="A152" s="220"/>
      <c r="B152" s="260"/>
      <c r="C152" s="260"/>
      <c r="D152" s="241"/>
      <c r="E152" s="216"/>
      <c r="F152" s="91" t="s">
        <v>450</v>
      </c>
      <c r="G152" s="251"/>
      <c r="H152" s="255"/>
      <c r="I152" s="285"/>
      <c r="J152" s="87">
        <v>90</v>
      </c>
      <c r="K152" s="14"/>
      <c r="L152" s="31">
        <f t="shared" si="11"/>
        <v>90</v>
      </c>
      <c r="M152" s="251"/>
      <c r="N152" s="231"/>
      <c r="O152" s="223"/>
    </row>
    <row r="153" spans="1:15" ht="34.5" thickBot="1">
      <c r="A153" s="221"/>
      <c r="B153" s="282"/>
      <c r="C153" s="282"/>
      <c r="D153" s="284"/>
      <c r="E153" s="217"/>
      <c r="F153" s="74" t="s">
        <v>310</v>
      </c>
      <c r="G153" s="252"/>
      <c r="H153" s="256"/>
      <c r="I153" s="268"/>
      <c r="J153" s="88">
        <v>1440</v>
      </c>
      <c r="K153" s="19"/>
      <c r="L153" s="20">
        <f t="shared" si="11"/>
        <v>1440</v>
      </c>
      <c r="M153" s="252"/>
      <c r="N153" s="232"/>
      <c r="O153" s="224"/>
    </row>
    <row r="154" spans="1:15" ht="13.5" thickBot="1">
      <c r="A154" s="171" t="s">
        <v>311</v>
      </c>
      <c r="B154" s="172"/>
      <c r="C154" s="172"/>
      <c r="D154" s="178"/>
      <c r="E154" s="179"/>
      <c r="F154" s="179"/>
      <c r="G154" s="180">
        <f>G155</f>
        <v>24300</v>
      </c>
      <c r="H154" s="181">
        <f>H155</f>
        <v>2000</v>
      </c>
      <c r="I154" s="182">
        <f>I155</f>
        <v>26300</v>
      </c>
      <c r="J154" s="183">
        <f>SUM(J155:J171)</f>
        <v>18015.21</v>
      </c>
      <c r="K154" s="181">
        <f>SUM(K155:K171)</f>
        <v>767.31</v>
      </c>
      <c r="L154" s="182">
        <f>SUM(L155:L171)</f>
        <v>18782.52</v>
      </c>
      <c r="M154" s="180">
        <f>M155</f>
        <v>6284.790000000001</v>
      </c>
      <c r="N154" s="181">
        <f>N155</f>
        <v>1232.69</v>
      </c>
      <c r="O154" s="182">
        <f>O155</f>
        <v>7517.480000000001</v>
      </c>
    </row>
    <row r="155" spans="1:15" ht="45">
      <c r="A155" s="258" t="s">
        <v>312</v>
      </c>
      <c r="B155" s="281" t="s">
        <v>210</v>
      </c>
      <c r="C155" s="281" t="s">
        <v>313</v>
      </c>
      <c r="D155" s="283"/>
      <c r="E155" s="215"/>
      <c r="F155" s="90" t="s">
        <v>451</v>
      </c>
      <c r="G155" s="250">
        <v>24300</v>
      </c>
      <c r="H155" s="254">
        <v>2000</v>
      </c>
      <c r="I155" s="267">
        <f>SUM(G155:H171)</f>
        <v>26300</v>
      </c>
      <c r="J155" s="85">
        <v>9.16</v>
      </c>
      <c r="K155" s="13"/>
      <c r="L155" s="21">
        <f aca="true" t="shared" si="12" ref="L155:L171">SUM(J155:K155)</f>
        <v>9.16</v>
      </c>
      <c r="M155" s="250">
        <f>G154-J154</f>
        <v>6284.790000000001</v>
      </c>
      <c r="N155" s="254">
        <f>H154-K154</f>
        <v>1232.69</v>
      </c>
      <c r="O155" s="222">
        <f>SUM(M155:N171)</f>
        <v>7517.480000000001</v>
      </c>
    </row>
    <row r="156" spans="1:15" ht="12.75">
      <c r="A156" s="220"/>
      <c r="B156" s="260"/>
      <c r="C156" s="260"/>
      <c r="D156" s="241"/>
      <c r="E156" s="216"/>
      <c r="F156" s="91" t="s">
        <v>452</v>
      </c>
      <c r="G156" s="251"/>
      <c r="H156" s="255"/>
      <c r="I156" s="285"/>
      <c r="J156" s="87">
        <v>10.84</v>
      </c>
      <c r="K156" s="14"/>
      <c r="L156" s="31">
        <f t="shared" si="12"/>
        <v>10.84</v>
      </c>
      <c r="M156" s="251"/>
      <c r="N156" s="255"/>
      <c r="O156" s="223"/>
    </row>
    <row r="157" spans="1:15" ht="12.75">
      <c r="A157" s="220"/>
      <c r="B157" s="260"/>
      <c r="C157" s="260"/>
      <c r="D157" s="241"/>
      <c r="E157" s="216"/>
      <c r="F157" s="91" t="s">
        <v>453</v>
      </c>
      <c r="G157" s="251"/>
      <c r="H157" s="255"/>
      <c r="I157" s="285"/>
      <c r="J157" s="87">
        <v>2.93</v>
      </c>
      <c r="K157" s="14"/>
      <c r="L157" s="31">
        <f t="shared" si="12"/>
        <v>2.93</v>
      </c>
      <c r="M157" s="251"/>
      <c r="N157" s="255"/>
      <c r="O157" s="223"/>
    </row>
    <row r="158" spans="1:15" ht="12.75">
      <c r="A158" s="220"/>
      <c r="B158" s="260"/>
      <c r="C158" s="260"/>
      <c r="D158" s="241"/>
      <c r="E158" s="216"/>
      <c r="F158" s="91" t="s">
        <v>454</v>
      </c>
      <c r="G158" s="251"/>
      <c r="H158" s="255"/>
      <c r="I158" s="285"/>
      <c r="J158" s="87">
        <v>37</v>
      </c>
      <c r="K158" s="14"/>
      <c r="L158" s="31">
        <f t="shared" si="12"/>
        <v>37</v>
      </c>
      <c r="M158" s="251"/>
      <c r="N158" s="255"/>
      <c r="O158" s="223"/>
    </row>
    <row r="159" spans="1:15" ht="12.75">
      <c r="A159" s="220"/>
      <c r="B159" s="260"/>
      <c r="C159" s="260"/>
      <c r="D159" s="241"/>
      <c r="E159" s="216"/>
      <c r="F159" s="91" t="s">
        <v>455</v>
      </c>
      <c r="G159" s="251"/>
      <c r="H159" s="255"/>
      <c r="I159" s="285"/>
      <c r="J159" s="87">
        <v>4.43</v>
      </c>
      <c r="K159" s="14"/>
      <c r="L159" s="31">
        <f t="shared" si="12"/>
        <v>4.43</v>
      </c>
      <c r="M159" s="251"/>
      <c r="N159" s="255"/>
      <c r="O159" s="223"/>
    </row>
    <row r="160" spans="1:15" ht="12.75">
      <c r="A160" s="220"/>
      <c r="B160" s="260"/>
      <c r="C160" s="260"/>
      <c r="D160" s="241"/>
      <c r="E160" s="216"/>
      <c r="F160" s="91" t="s">
        <v>456</v>
      </c>
      <c r="G160" s="251"/>
      <c r="H160" s="255"/>
      <c r="I160" s="285"/>
      <c r="J160" s="87">
        <v>13.57</v>
      </c>
      <c r="K160" s="14"/>
      <c r="L160" s="31">
        <f t="shared" si="12"/>
        <v>13.57</v>
      </c>
      <c r="M160" s="251"/>
      <c r="N160" s="255"/>
      <c r="O160" s="223"/>
    </row>
    <row r="161" spans="1:15" ht="12.75">
      <c r="A161" s="220"/>
      <c r="B161" s="260"/>
      <c r="C161" s="260"/>
      <c r="D161" s="241"/>
      <c r="E161" s="216"/>
      <c r="F161" s="91" t="s">
        <v>457</v>
      </c>
      <c r="G161" s="251"/>
      <c r="H161" s="255"/>
      <c r="I161" s="285"/>
      <c r="J161" s="87">
        <v>27.58</v>
      </c>
      <c r="K161" s="14"/>
      <c r="L161" s="31">
        <f t="shared" si="12"/>
        <v>27.58</v>
      </c>
      <c r="M161" s="251"/>
      <c r="N161" s="255"/>
      <c r="O161" s="223"/>
    </row>
    <row r="162" spans="1:15" ht="12.75">
      <c r="A162" s="220"/>
      <c r="B162" s="260"/>
      <c r="C162" s="260"/>
      <c r="D162" s="241"/>
      <c r="E162" s="216"/>
      <c r="F162" s="91" t="s">
        <v>458</v>
      </c>
      <c r="G162" s="251"/>
      <c r="H162" s="255"/>
      <c r="I162" s="285"/>
      <c r="J162" s="87">
        <v>137.96</v>
      </c>
      <c r="K162" s="14"/>
      <c r="L162" s="31">
        <f t="shared" si="12"/>
        <v>137.96</v>
      </c>
      <c r="M162" s="251"/>
      <c r="N162" s="255"/>
      <c r="O162" s="223"/>
    </row>
    <row r="163" spans="1:15" ht="39" customHeight="1">
      <c r="A163" s="220"/>
      <c r="B163" s="260"/>
      <c r="C163" s="260"/>
      <c r="D163" s="241"/>
      <c r="E163" s="216"/>
      <c r="F163" s="91" t="s">
        <v>476</v>
      </c>
      <c r="G163" s="251"/>
      <c r="H163" s="255"/>
      <c r="I163" s="285"/>
      <c r="J163" s="87">
        <v>2975.19</v>
      </c>
      <c r="K163" s="14"/>
      <c r="L163" s="31">
        <f t="shared" si="12"/>
        <v>2975.19</v>
      </c>
      <c r="M163" s="251"/>
      <c r="N163" s="255"/>
      <c r="O163" s="223"/>
    </row>
    <row r="164" spans="1:15" ht="12.75">
      <c r="A164" s="220"/>
      <c r="B164" s="260"/>
      <c r="C164" s="260"/>
      <c r="D164" s="241"/>
      <c r="E164" s="216"/>
      <c r="F164" s="91" t="s">
        <v>459</v>
      </c>
      <c r="G164" s="251"/>
      <c r="H164" s="255"/>
      <c r="I164" s="285"/>
      <c r="J164" s="15">
        <v>2517.5</v>
      </c>
      <c r="K164" s="14"/>
      <c r="L164" s="31">
        <f t="shared" si="12"/>
        <v>2517.5</v>
      </c>
      <c r="M164" s="251"/>
      <c r="N164" s="255"/>
      <c r="O164" s="223"/>
    </row>
    <row r="165" spans="1:15" ht="12.75">
      <c r="A165" s="220"/>
      <c r="B165" s="260"/>
      <c r="C165" s="260"/>
      <c r="D165" s="241"/>
      <c r="E165" s="216"/>
      <c r="F165" s="91" t="s">
        <v>460</v>
      </c>
      <c r="G165" s="251"/>
      <c r="H165" s="255"/>
      <c r="I165" s="285"/>
      <c r="J165" s="15">
        <v>2436.82</v>
      </c>
      <c r="K165" s="14"/>
      <c r="L165" s="31">
        <f t="shared" si="12"/>
        <v>2436.82</v>
      </c>
      <c r="M165" s="251"/>
      <c r="N165" s="255"/>
      <c r="O165" s="223"/>
    </row>
    <row r="166" spans="1:15" ht="12.75">
      <c r="A166" s="220"/>
      <c r="B166" s="260"/>
      <c r="C166" s="260"/>
      <c r="D166" s="241"/>
      <c r="E166" s="216"/>
      <c r="F166" s="91" t="s">
        <v>461</v>
      </c>
      <c r="G166" s="251"/>
      <c r="H166" s="255"/>
      <c r="I166" s="285"/>
      <c r="J166" s="15">
        <v>2286.49</v>
      </c>
      <c r="K166" s="14"/>
      <c r="L166" s="31">
        <f t="shared" si="12"/>
        <v>2286.49</v>
      </c>
      <c r="M166" s="251"/>
      <c r="N166" s="255"/>
      <c r="O166" s="223"/>
    </row>
    <row r="167" spans="1:15" ht="12.75">
      <c r="A167" s="220"/>
      <c r="B167" s="260"/>
      <c r="C167" s="260"/>
      <c r="D167" s="241"/>
      <c r="E167" s="216"/>
      <c r="F167" s="91" t="s">
        <v>462</v>
      </c>
      <c r="G167" s="251"/>
      <c r="H167" s="255"/>
      <c r="I167" s="285"/>
      <c r="J167" s="15">
        <v>2956.66</v>
      </c>
      <c r="K167" s="14"/>
      <c r="L167" s="31">
        <f t="shared" si="12"/>
        <v>2956.66</v>
      </c>
      <c r="M167" s="251"/>
      <c r="N167" s="255"/>
      <c r="O167" s="223"/>
    </row>
    <row r="168" spans="1:15" ht="12.75">
      <c r="A168" s="220"/>
      <c r="B168" s="260"/>
      <c r="C168" s="260"/>
      <c r="D168" s="241"/>
      <c r="E168" s="216"/>
      <c r="F168" s="91" t="s">
        <v>463</v>
      </c>
      <c r="G168" s="251"/>
      <c r="H168" s="255"/>
      <c r="I168" s="285"/>
      <c r="J168" s="15">
        <v>2248.58</v>
      </c>
      <c r="K168" s="14"/>
      <c r="L168" s="31">
        <f t="shared" si="12"/>
        <v>2248.58</v>
      </c>
      <c r="M168" s="251"/>
      <c r="N168" s="255"/>
      <c r="O168" s="223"/>
    </row>
    <row r="169" spans="1:15" ht="22.5">
      <c r="A169" s="220"/>
      <c r="B169" s="260"/>
      <c r="C169" s="260"/>
      <c r="D169" s="241"/>
      <c r="E169" s="216"/>
      <c r="F169" s="91" t="s">
        <v>464</v>
      </c>
      <c r="G169" s="251"/>
      <c r="H169" s="255"/>
      <c r="I169" s="285"/>
      <c r="J169" s="15"/>
      <c r="K169" s="14">
        <v>402.23</v>
      </c>
      <c r="L169" s="31">
        <f t="shared" si="12"/>
        <v>402.23</v>
      </c>
      <c r="M169" s="251"/>
      <c r="N169" s="255"/>
      <c r="O169" s="223"/>
    </row>
    <row r="170" spans="1:15" ht="22.5">
      <c r="A170" s="220"/>
      <c r="B170" s="260"/>
      <c r="C170" s="260"/>
      <c r="D170" s="241"/>
      <c r="E170" s="216"/>
      <c r="F170" s="91" t="s">
        <v>465</v>
      </c>
      <c r="G170" s="251"/>
      <c r="H170" s="255"/>
      <c r="I170" s="285"/>
      <c r="J170" s="15"/>
      <c r="K170" s="14">
        <v>365.08</v>
      </c>
      <c r="L170" s="31">
        <f t="shared" si="12"/>
        <v>365.08</v>
      </c>
      <c r="M170" s="251"/>
      <c r="N170" s="255"/>
      <c r="O170" s="223"/>
    </row>
    <row r="171" spans="1:15" ht="38.25" customHeight="1" thickBot="1">
      <c r="A171" s="221"/>
      <c r="B171" s="282"/>
      <c r="C171" s="282"/>
      <c r="D171" s="284"/>
      <c r="E171" s="217"/>
      <c r="F171" s="74" t="s">
        <v>475</v>
      </c>
      <c r="G171" s="252"/>
      <c r="H171" s="256"/>
      <c r="I171" s="268"/>
      <c r="J171" s="18">
        <v>2350.5</v>
      </c>
      <c r="K171" s="19"/>
      <c r="L171" s="20">
        <f t="shared" si="12"/>
        <v>2350.5</v>
      </c>
      <c r="M171" s="252"/>
      <c r="N171" s="256"/>
      <c r="O171" s="224"/>
    </row>
    <row r="172" spans="1:15" ht="13.5" thickBot="1">
      <c r="A172" s="171" t="s">
        <v>314</v>
      </c>
      <c r="B172" s="172"/>
      <c r="C172" s="172"/>
      <c r="D172" s="178"/>
      <c r="E172" s="179"/>
      <c r="F172" s="179"/>
      <c r="G172" s="180">
        <f>SUM(G173)</f>
        <v>1000</v>
      </c>
      <c r="H172" s="181">
        <f>SUM(H173)</f>
        <v>10000</v>
      </c>
      <c r="I172" s="182">
        <f>SUM(I173)</f>
        <v>11000</v>
      </c>
      <c r="J172" s="183">
        <f>SUM(J173:J174)</f>
        <v>0</v>
      </c>
      <c r="K172" s="181">
        <f>SUM(K173:K174)</f>
        <v>6764.4</v>
      </c>
      <c r="L172" s="182">
        <f>SUM(L173:L174)</f>
        <v>6764.4</v>
      </c>
      <c r="M172" s="180">
        <f>SUM(M173)</f>
        <v>1000</v>
      </c>
      <c r="N172" s="181">
        <f>SUM(N173)</f>
        <v>3235.6000000000004</v>
      </c>
      <c r="O172" s="182">
        <f>SUM(O173)</f>
        <v>4235.6</v>
      </c>
    </row>
    <row r="173" spans="1:15" ht="22.5">
      <c r="A173" s="258" t="s">
        <v>315</v>
      </c>
      <c r="B173" s="281" t="s">
        <v>210</v>
      </c>
      <c r="C173" s="281" t="s">
        <v>316</v>
      </c>
      <c r="D173" s="283"/>
      <c r="E173" s="215"/>
      <c r="F173" s="90" t="s">
        <v>466</v>
      </c>
      <c r="G173" s="250">
        <v>1000</v>
      </c>
      <c r="H173" s="254">
        <v>10000</v>
      </c>
      <c r="I173" s="267">
        <f>SUM(G173:H174)</f>
        <v>11000</v>
      </c>
      <c r="J173" s="12"/>
      <c r="K173" s="13">
        <v>5846.4</v>
      </c>
      <c r="L173" s="21">
        <f>SUM(J173:K173)</f>
        <v>5846.4</v>
      </c>
      <c r="M173" s="250">
        <f>G172-J172</f>
        <v>1000</v>
      </c>
      <c r="N173" s="254">
        <f>H172-K172</f>
        <v>3235.6000000000004</v>
      </c>
      <c r="O173" s="222">
        <f>SUM(M173:N174)</f>
        <v>4235.6</v>
      </c>
    </row>
    <row r="174" spans="1:15" ht="32.25" customHeight="1" thickBot="1">
      <c r="A174" s="221"/>
      <c r="B174" s="282"/>
      <c r="C174" s="282"/>
      <c r="D174" s="284"/>
      <c r="E174" s="217"/>
      <c r="F174" s="74" t="s">
        <v>467</v>
      </c>
      <c r="G174" s="252"/>
      <c r="H174" s="256"/>
      <c r="I174" s="268"/>
      <c r="J174" s="18"/>
      <c r="K174" s="89">
        <v>918</v>
      </c>
      <c r="L174" s="20">
        <f>SUM(J174:K174)</f>
        <v>918</v>
      </c>
      <c r="M174" s="252"/>
      <c r="N174" s="256"/>
      <c r="O174" s="224"/>
    </row>
    <row r="175" spans="1:15" ht="13.5" thickBot="1">
      <c r="A175" s="171" t="s">
        <v>317</v>
      </c>
      <c r="B175" s="172"/>
      <c r="C175" s="172"/>
      <c r="D175" s="178"/>
      <c r="E175" s="179"/>
      <c r="F175" s="184"/>
      <c r="G175" s="180">
        <f>G176</f>
        <v>7000</v>
      </c>
      <c r="H175" s="181">
        <f>H176</f>
        <v>8240</v>
      </c>
      <c r="I175" s="182">
        <f>I176</f>
        <v>15240</v>
      </c>
      <c r="J175" s="183">
        <f>SUM(J176:J179)</f>
        <v>3476.66</v>
      </c>
      <c r="K175" s="181">
        <f>SUM(K176:K179)</f>
        <v>3297.02</v>
      </c>
      <c r="L175" s="182">
        <f>SUM(L176:L179)</f>
        <v>6773.68</v>
      </c>
      <c r="M175" s="180">
        <f>M176</f>
        <v>3523.34</v>
      </c>
      <c r="N175" s="181">
        <f>N176</f>
        <v>4942.98</v>
      </c>
      <c r="O175" s="182">
        <f>O176</f>
        <v>8466.32</v>
      </c>
    </row>
    <row r="176" spans="1:15" ht="22.5">
      <c r="A176" s="258" t="s">
        <v>318</v>
      </c>
      <c r="B176" s="281" t="s">
        <v>210</v>
      </c>
      <c r="C176" s="281" t="s">
        <v>319</v>
      </c>
      <c r="D176" s="283"/>
      <c r="E176" s="211"/>
      <c r="F176" s="101" t="s">
        <v>468</v>
      </c>
      <c r="G176" s="250">
        <v>7000</v>
      </c>
      <c r="H176" s="254">
        <v>8240</v>
      </c>
      <c r="I176" s="267">
        <f>SUM(G176:H179)</f>
        <v>15240</v>
      </c>
      <c r="J176" s="12"/>
      <c r="K176" s="13">
        <v>3297.02</v>
      </c>
      <c r="L176" s="21">
        <f>SUM(J176:K176)</f>
        <v>3297.02</v>
      </c>
      <c r="M176" s="250">
        <f>G175-J175</f>
        <v>3523.34</v>
      </c>
      <c r="N176" s="254">
        <f>H175-K175</f>
        <v>4942.98</v>
      </c>
      <c r="O176" s="222">
        <f>SUM(M176:N179)</f>
        <v>8466.32</v>
      </c>
    </row>
    <row r="177" spans="1:15" ht="27.75" customHeight="1">
      <c r="A177" s="220"/>
      <c r="B177" s="260"/>
      <c r="C177" s="260"/>
      <c r="D177" s="241"/>
      <c r="E177" s="212"/>
      <c r="F177" s="142" t="s">
        <v>469</v>
      </c>
      <c r="G177" s="251"/>
      <c r="H177" s="255"/>
      <c r="I177" s="285"/>
      <c r="J177" s="15">
        <v>1156.68</v>
      </c>
      <c r="K177" s="14"/>
      <c r="L177" s="31">
        <f>SUM(J177:K177)</f>
        <v>1156.68</v>
      </c>
      <c r="M177" s="251"/>
      <c r="N177" s="255"/>
      <c r="O177" s="223"/>
    </row>
    <row r="178" spans="1:15" ht="22.5" customHeight="1">
      <c r="A178" s="220"/>
      <c r="B178" s="260"/>
      <c r="C178" s="260"/>
      <c r="D178" s="241"/>
      <c r="E178" s="212"/>
      <c r="F178" s="142" t="s">
        <v>470</v>
      </c>
      <c r="G178" s="252"/>
      <c r="H178" s="256"/>
      <c r="I178" s="285"/>
      <c r="J178" s="18">
        <v>1349.4</v>
      </c>
      <c r="K178" s="19"/>
      <c r="L178" s="20">
        <f>SUM(J178:K178)</f>
        <v>1349.4</v>
      </c>
      <c r="M178" s="252"/>
      <c r="N178" s="256"/>
      <c r="O178" s="224"/>
    </row>
    <row r="179" spans="1:15" ht="22.5" customHeight="1" thickBot="1">
      <c r="A179" s="221"/>
      <c r="B179" s="282"/>
      <c r="C179" s="282"/>
      <c r="D179" s="284"/>
      <c r="E179" s="214"/>
      <c r="F179" s="143" t="s">
        <v>99</v>
      </c>
      <c r="G179" s="252"/>
      <c r="H179" s="256"/>
      <c r="I179" s="268"/>
      <c r="J179" s="198">
        <v>970.58</v>
      </c>
      <c r="K179" s="19"/>
      <c r="L179" s="20">
        <f>SUM(J179:K179)</f>
        <v>970.58</v>
      </c>
      <c r="M179" s="252"/>
      <c r="N179" s="256"/>
      <c r="O179" s="224"/>
    </row>
    <row r="180" spans="1:15" ht="13.5" thickBot="1">
      <c r="A180" s="171" t="s">
        <v>320</v>
      </c>
      <c r="B180" s="172"/>
      <c r="C180" s="172"/>
      <c r="D180" s="178"/>
      <c r="E180" s="179"/>
      <c r="F180" s="185"/>
      <c r="G180" s="180">
        <f>G181</f>
        <v>14163</v>
      </c>
      <c r="H180" s="181">
        <f>H181</f>
        <v>14675</v>
      </c>
      <c r="I180" s="182">
        <f>I181</f>
        <v>28838</v>
      </c>
      <c r="J180" s="183">
        <f>SUM(J181:J182)</f>
        <v>0</v>
      </c>
      <c r="K180" s="181">
        <f>SUM(K181:K182)</f>
        <v>860</v>
      </c>
      <c r="L180" s="182">
        <f>SUM(L181:L182)</f>
        <v>860</v>
      </c>
      <c r="M180" s="180">
        <f>M181</f>
        <v>14163</v>
      </c>
      <c r="N180" s="181">
        <f>N181</f>
        <v>13815</v>
      </c>
      <c r="O180" s="182">
        <f>O181</f>
        <v>27978</v>
      </c>
    </row>
    <row r="181" spans="1:15" ht="22.5">
      <c r="A181" s="258" t="s">
        <v>321</v>
      </c>
      <c r="B181" s="281" t="s">
        <v>210</v>
      </c>
      <c r="C181" s="281" t="s">
        <v>322</v>
      </c>
      <c r="D181" s="283"/>
      <c r="E181" s="215"/>
      <c r="F181" s="90" t="s">
        <v>323</v>
      </c>
      <c r="G181" s="250">
        <v>14163</v>
      </c>
      <c r="H181" s="254">
        <v>14675</v>
      </c>
      <c r="I181" s="267">
        <f>SUM(G181:H182)</f>
        <v>28838</v>
      </c>
      <c r="J181" s="12"/>
      <c r="K181" s="13">
        <v>500</v>
      </c>
      <c r="L181" s="21">
        <f>SUM(J181:K181)</f>
        <v>500</v>
      </c>
      <c r="M181" s="250">
        <f>G180-J180</f>
        <v>14163</v>
      </c>
      <c r="N181" s="229">
        <f>H180-K180</f>
        <v>13815</v>
      </c>
      <c r="O181" s="222">
        <f>SUM(M181:N182)</f>
        <v>27978</v>
      </c>
    </row>
    <row r="182" spans="1:15" ht="23.25" thickBot="1">
      <c r="A182" s="221"/>
      <c r="B182" s="282"/>
      <c r="C182" s="282"/>
      <c r="D182" s="284"/>
      <c r="E182" s="217"/>
      <c r="F182" s="74" t="s">
        <v>324</v>
      </c>
      <c r="G182" s="252"/>
      <c r="H182" s="256"/>
      <c r="I182" s="268"/>
      <c r="J182" s="18"/>
      <c r="K182" s="19">
        <v>360</v>
      </c>
      <c r="L182" s="20">
        <f>SUM(J182:K182)</f>
        <v>360</v>
      </c>
      <c r="M182" s="252"/>
      <c r="N182" s="232"/>
      <c r="O182" s="224"/>
    </row>
    <row r="183" spans="1:15" ht="13.5" thickBot="1">
      <c r="A183" s="171" t="s">
        <v>325</v>
      </c>
      <c r="B183" s="172"/>
      <c r="C183" s="172"/>
      <c r="D183" s="178"/>
      <c r="E183" s="179"/>
      <c r="F183" s="179"/>
      <c r="G183" s="180">
        <f>G184</f>
        <v>43000</v>
      </c>
      <c r="H183" s="181">
        <f>H184</f>
        <v>31821</v>
      </c>
      <c r="I183" s="182">
        <f>I184</f>
        <v>74821</v>
      </c>
      <c r="J183" s="183">
        <f>SUM(J184:J188)</f>
        <v>7600</v>
      </c>
      <c r="K183" s="181">
        <f>SUM(K184:K188)</f>
        <v>20027.19</v>
      </c>
      <c r="L183" s="182">
        <f>SUM(L184:L188)</f>
        <v>27627.19</v>
      </c>
      <c r="M183" s="180">
        <f>M184</f>
        <v>35400</v>
      </c>
      <c r="N183" s="181">
        <f>N184</f>
        <v>11793.810000000001</v>
      </c>
      <c r="O183" s="182">
        <f>O184</f>
        <v>47193.81</v>
      </c>
    </row>
    <row r="184" spans="1:15" ht="33.75">
      <c r="A184" s="258" t="s">
        <v>326</v>
      </c>
      <c r="B184" s="281" t="s">
        <v>210</v>
      </c>
      <c r="C184" s="281" t="s">
        <v>327</v>
      </c>
      <c r="D184" s="283"/>
      <c r="E184" s="215"/>
      <c r="F184" s="90" t="s">
        <v>478</v>
      </c>
      <c r="G184" s="251">
        <v>43000</v>
      </c>
      <c r="H184" s="255">
        <v>31821</v>
      </c>
      <c r="I184" s="267">
        <f>SUM(G184:H188)</f>
        <v>74821</v>
      </c>
      <c r="J184" s="15"/>
      <c r="K184" s="14">
        <v>8000</v>
      </c>
      <c r="L184" s="31">
        <f>SUM(J184:K184)</f>
        <v>8000</v>
      </c>
      <c r="M184" s="293">
        <f>G183-J183</f>
        <v>35400</v>
      </c>
      <c r="N184" s="229">
        <f>H183-K183</f>
        <v>11793.810000000001</v>
      </c>
      <c r="O184" s="222">
        <f>SUM(M184:N188)</f>
        <v>47193.81</v>
      </c>
    </row>
    <row r="185" spans="1:15" ht="22.5">
      <c r="A185" s="220"/>
      <c r="B185" s="260"/>
      <c r="C185" s="260"/>
      <c r="D185" s="241"/>
      <c r="E185" s="216"/>
      <c r="F185" s="91" t="s">
        <v>479</v>
      </c>
      <c r="G185" s="251"/>
      <c r="H185" s="255"/>
      <c r="I185" s="285"/>
      <c r="J185" s="15"/>
      <c r="K185" s="14">
        <v>3399.31</v>
      </c>
      <c r="L185" s="31">
        <f>SUM(J185:K185)</f>
        <v>3399.31</v>
      </c>
      <c r="M185" s="294"/>
      <c r="N185" s="231"/>
      <c r="O185" s="223"/>
    </row>
    <row r="186" spans="1:15" ht="26.25" customHeight="1">
      <c r="A186" s="220"/>
      <c r="B186" s="260"/>
      <c r="C186" s="260"/>
      <c r="D186" s="241"/>
      <c r="E186" s="216"/>
      <c r="F186" s="91" t="s">
        <v>480</v>
      </c>
      <c r="G186" s="251"/>
      <c r="H186" s="255"/>
      <c r="I186" s="285"/>
      <c r="J186" s="15"/>
      <c r="K186" s="14">
        <v>8627.88</v>
      </c>
      <c r="L186" s="31">
        <f>SUM(J186:K186)</f>
        <v>8627.88</v>
      </c>
      <c r="M186" s="294"/>
      <c r="N186" s="231"/>
      <c r="O186" s="223"/>
    </row>
    <row r="187" spans="1:15" ht="22.5" customHeight="1">
      <c r="A187" s="220"/>
      <c r="B187" s="260"/>
      <c r="C187" s="260"/>
      <c r="D187" s="241"/>
      <c r="E187" s="216"/>
      <c r="F187" s="91" t="s">
        <v>481</v>
      </c>
      <c r="G187" s="251"/>
      <c r="H187" s="255"/>
      <c r="I187" s="285"/>
      <c r="J187" s="15">
        <v>2600</v>
      </c>
      <c r="K187" s="14"/>
      <c r="L187" s="31">
        <f>SUM(J187:K187)</f>
        <v>2600</v>
      </c>
      <c r="M187" s="294"/>
      <c r="N187" s="231"/>
      <c r="O187" s="223"/>
    </row>
    <row r="188" spans="1:15" ht="25.5" customHeight="1" thickBot="1">
      <c r="A188" s="221"/>
      <c r="B188" s="282"/>
      <c r="C188" s="282"/>
      <c r="D188" s="284"/>
      <c r="E188" s="217"/>
      <c r="F188" s="74" t="s">
        <v>482</v>
      </c>
      <c r="G188" s="252"/>
      <c r="H188" s="256"/>
      <c r="I188" s="268"/>
      <c r="J188" s="18">
        <v>5000</v>
      </c>
      <c r="K188" s="19"/>
      <c r="L188" s="20">
        <f>SUM(J188:K188)</f>
        <v>5000</v>
      </c>
      <c r="M188" s="295"/>
      <c r="N188" s="232"/>
      <c r="O188" s="224"/>
    </row>
    <row r="189" spans="1:15" ht="13.5" thickBot="1">
      <c r="A189" s="171" t="s">
        <v>328</v>
      </c>
      <c r="B189" s="172"/>
      <c r="C189" s="172"/>
      <c r="D189" s="178"/>
      <c r="E189" s="179"/>
      <c r="F189" s="179"/>
      <c r="G189" s="180">
        <f>G190</f>
        <v>21114</v>
      </c>
      <c r="H189" s="181">
        <f>H190</f>
        <v>20817</v>
      </c>
      <c r="I189" s="182">
        <f>I190</f>
        <v>41931</v>
      </c>
      <c r="J189" s="183">
        <f>SUM(J190:J206)</f>
        <v>15292.68</v>
      </c>
      <c r="K189" s="181">
        <f>SUM(K190:K206)</f>
        <v>14743.01</v>
      </c>
      <c r="L189" s="182">
        <f>SUM(L190:L206)</f>
        <v>30035.690000000002</v>
      </c>
      <c r="M189" s="180">
        <f>M190</f>
        <v>5821.32</v>
      </c>
      <c r="N189" s="181">
        <f>N190</f>
        <v>6073.99</v>
      </c>
      <c r="O189" s="182">
        <f>O190</f>
        <v>11895.31</v>
      </c>
    </row>
    <row r="190" spans="1:15" ht="22.5">
      <c r="A190" s="258" t="s">
        <v>353</v>
      </c>
      <c r="B190" s="281" t="s">
        <v>210</v>
      </c>
      <c r="C190" s="281" t="s">
        <v>274</v>
      </c>
      <c r="D190" s="283"/>
      <c r="E190" s="215"/>
      <c r="F190" s="90" t="s">
        <v>483</v>
      </c>
      <c r="G190" s="296">
        <f>35042-13928</f>
        <v>21114</v>
      </c>
      <c r="H190" s="254">
        <v>20817</v>
      </c>
      <c r="I190" s="267">
        <f>SUM(G190:H206)</f>
        <v>41931</v>
      </c>
      <c r="J190" s="12">
        <v>2000</v>
      </c>
      <c r="K190" s="13"/>
      <c r="L190" s="21">
        <f aca="true" t="shared" si="13" ref="L190:L206">SUM(J190:K190)</f>
        <v>2000</v>
      </c>
      <c r="M190" s="250">
        <f>G189-J189</f>
        <v>5821.32</v>
      </c>
      <c r="N190" s="254">
        <f>H189-K189</f>
        <v>6073.99</v>
      </c>
      <c r="O190" s="222">
        <f>SUM(M190:N206)</f>
        <v>11895.31</v>
      </c>
    </row>
    <row r="191" spans="1:15" ht="12.75">
      <c r="A191" s="220"/>
      <c r="B191" s="260"/>
      <c r="C191" s="260"/>
      <c r="D191" s="241"/>
      <c r="E191" s="216"/>
      <c r="F191" s="91" t="s">
        <v>484</v>
      </c>
      <c r="G191" s="297"/>
      <c r="H191" s="255"/>
      <c r="I191" s="285"/>
      <c r="J191" s="87">
        <v>1200</v>
      </c>
      <c r="K191" s="14"/>
      <c r="L191" s="31">
        <f t="shared" si="13"/>
        <v>1200</v>
      </c>
      <c r="M191" s="251"/>
      <c r="N191" s="255"/>
      <c r="O191" s="223"/>
    </row>
    <row r="192" spans="1:15" ht="12.75">
      <c r="A192" s="220"/>
      <c r="B192" s="260"/>
      <c r="C192" s="260"/>
      <c r="D192" s="241"/>
      <c r="E192" s="216"/>
      <c r="F192" s="91" t="s">
        <v>485</v>
      </c>
      <c r="G192" s="297"/>
      <c r="H192" s="255"/>
      <c r="I192" s="285"/>
      <c r="J192" s="87">
        <v>1200</v>
      </c>
      <c r="K192" s="14"/>
      <c r="L192" s="31">
        <f t="shared" si="13"/>
        <v>1200</v>
      </c>
      <c r="M192" s="251"/>
      <c r="N192" s="255"/>
      <c r="O192" s="223"/>
    </row>
    <row r="193" spans="1:15" ht="12.75">
      <c r="A193" s="220"/>
      <c r="B193" s="260"/>
      <c r="C193" s="260"/>
      <c r="D193" s="241"/>
      <c r="E193" s="216"/>
      <c r="F193" s="91" t="s">
        <v>484</v>
      </c>
      <c r="G193" s="297"/>
      <c r="H193" s="255"/>
      <c r="I193" s="285"/>
      <c r="J193" s="87">
        <v>1200</v>
      </c>
      <c r="K193" s="14"/>
      <c r="L193" s="31">
        <f t="shared" si="13"/>
        <v>1200</v>
      </c>
      <c r="M193" s="251"/>
      <c r="N193" s="255"/>
      <c r="O193" s="223"/>
    </row>
    <row r="194" spans="1:15" ht="12.75">
      <c r="A194" s="220"/>
      <c r="B194" s="260"/>
      <c r="C194" s="260"/>
      <c r="D194" s="241"/>
      <c r="E194" s="216"/>
      <c r="F194" s="91" t="s">
        <v>484</v>
      </c>
      <c r="G194" s="297"/>
      <c r="H194" s="255"/>
      <c r="I194" s="285"/>
      <c r="J194" s="87">
        <v>1200</v>
      </c>
      <c r="K194" s="14"/>
      <c r="L194" s="31">
        <f t="shared" si="13"/>
        <v>1200</v>
      </c>
      <c r="M194" s="251"/>
      <c r="N194" s="255"/>
      <c r="O194" s="223"/>
    </row>
    <row r="195" spans="1:15" ht="12.75">
      <c r="A195" s="220"/>
      <c r="B195" s="260"/>
      <c r="C195" s="260"/>
      <c r="D195" s="241"/>
      <c r="E195" s="216"/>
      <c r="F195" s="91" t="s">
        <v>484</v>
      </c>
      <c r="G195" s="297"/>
      <c r="H195" s="255"/>
      <c r="I195" s="285"/>
      <c r="J195" s="87">
        <v>1200</v>
      </c>
      <c r="K195" s="14"/>
      <c r="L195" s="31">
        <f t="shared" si="13"/>
        <v>1200</v>
      </c>
      <c r="M195" s="251"/>
      <c r="N195" s="255"/>
      <c r="O195" s="223"/>
    </row>
    <row r="196" spans="1:15" ht="12.75">
      <c r="A196" s="220"/>
      <c r="B196" s="260"/>
      <c r="C196" s="260"/>
      <c r="D196" s="241"/>
      <c r="E196" s="216"/>
      <c r="F196" s="91" t="s">
        <v>484</v>
      </c>
      <c r="G196" s="297"/>
      <c r="H196" s="255"/>
      <c r="I196" s="285"/>
      <c r="J196" s="87">
        <v>1200</v>
      </c>
      <c r="K196" s="14"/>
      <c r="L196" s="31">
        <f t="shared" si="13"/>
        <v>1200</v>
      </c>
      <c r="M196" s="251"/>
      <c r="N196" s="255"/>
      <c r="O196" s="223"/>
    </row>
    <row r="197" spans="1:15" ht="33.75">
      <c r="A197" s="220"/>
      <c r="B197" s="260"/>
      <c r="C197" s="260"/>
      <c r="D197" s="241"/>
      <c r="E197" s="216"/>
      <c r="F197" s="91" t="s">
        <v>486</v>
      </c>
      <c r="G197" s="297"/>
      <c r="H197" s="255"/>
      <c r="I197" s="285"/>
      <c r="J197" s="15"/>
      <c r="K197" s="14">
        <v>7680</v>
      </c>
      <c r="L197" s="31">
        <f t="shared" si="13"/>
        <v>7680</v>
      </c>
      <c r="M197" s="251"/>
      <c r="N197" s="255"/>
      <c r="O197" s="223"/>
    </row>
    <row r="198" spans="1:15" ht="22.5">
      <c r="A198" s="220"/>
      <c r="B198" s="260"/>
      <c r="C198" s="260"/>
      <c r="D198" s="241"/>
      <c r="E198" s="216"/>
      <c r="F198" s="91" t="s">
        <v>473</v>
      </c>
      <c r="G198" s="297"/>
      <c r="H198" s="255"/>
      <c r="I198" s="285"/>
      <c r="J198" s="15"/>
      <c r="K198" s="14">
        <v>2160</v>
      </c>
      <c r="L198" s="31">
        <f t="shared" si="13"/>
        <v>2160</v>
      </c>
      <c r="M198" s="251"/>
      <c r="N198" s="255"/>
      <c r="O198" s="223"/>
    </row>
    <row r="199" spans="1:15" ht="22.5">
      <c r="A199" s="220"/>
      <c r="B199" s="260"/>
      <c r="C199" s="260"/>
      <c r="D199" s="241"/>
      <c r="E199" s="216"/>
      <c r="F199" s="91" t="s">
        <v>474</v>
      </c>
      <c r="G199" s="297"/>
      <c r="H199" s="255"/>
      <c r="I199" s="285"/>
      <c r="J199" s="15"/>
      <c r="K199" s="14">
        <v>884.4</v>
      </c>
      <c r="L199" s="31">
        <f t="shared" si="13"/>
        <v>884.4</v>
      </c>
      <c r="M199" s="251"/>
      <c r="N199" s="255"/>
      <c r="O199" s="223"/>
    </row>
    <row r="200" spans="1:15" ht="23.25" thickBot="1">
      <c r="A200" s="220"/>
      <c r="B200" s="260"/>
      <c r="C200" s="260"/>
      <c r="D200" s="241"/>
      <c r="E200" s="216"/>
      <c r="F200" s="91" t="s">
        <v>772</v>
      </c>
      <c r="G200" s="297"/>
      <c r="H200" s="255"/>
      <c r="I200" s="285"/>
      <c r="J200" s="15"/>
      <c r="K200" s="14">
        <v>2556</v>
      </c>
      <c r="L200" s="31">
        <f t="shared" si="13"/>
        <v>2556</v>
      </c>
      <c r="M200" s="251"/>
      <c r="N200" s="255"/>
      <c r="O200" s="223"/>
    </row>
    <row r="201" spans="1:15" ht="22.5">
      <c r="A201" s="220"/>
      <c r="B201" s="260"/>
      <c r="C201" s="260"/>
      <c r="D201" s="241"/>
      <c r="E201" s="212"/>
      <c r="F201" s="101" t="s">
        <v>471</v>
      </c>
      <c r="G201" s="297"/>
      <c r="H201" s="255"/>
      <c r="I201" s="285"/>
      <c r="J201" s="15"/>
      <c r="K201" s="14">
        <v>454.61</v>
      </c>
      <c r="L201" s="31">
        <f t="shared" si="13"/>
        <v>454.61</v>
      </c>
      <c r="M201" s="251"/>
      <c r="N201" s="255"/>
      <c r="O201" s="223"/>
    </row>
    <row r="202" spans="1:15" ht="22.5">
      <c r="A202" s="220"/>
      <c r="B202" s="260"/>
      <c r="C202" s="260"/>
      <c r="D202" s="241"/>
      <c r="E202" s="212"/>
      <c r="F202" s="142" t="s">
        <v>773</v>
      </c>
      <c r="G202" s="297"/>
      <c r="H202" s="255"/>
      <c r="I202" s="285"/>
      <c r="J202" s="15">
        <v>295</v>
      </c>
      <c r="K202" s="14"/>
      <c r="L202" s="31">
        <f t="shared" si="13"/>
        <v>295</v>
      </c>
      <c r="M202" s="251"/>
      <c r="N202" s="255"/>
      <c r="O202" s="223"/>
    </row>
    <row r="203" spans="1:15" ht="24.75" customHeight="1">
      <c r="A203" s="220"/>
      <c r="B203" s="260"/>
      <c r="C203" s="260"/>
      <c r="D203" s="241"/>
      <c r="E203" s="212"/>
      <c r="F203" s="142" t="s">
        <v>472</v>
      </c>
      <c r="G203" s="297"/>
      <c r="H203" s="255"/>
      <c r="I203" s="285"/>
      <c r="J203" s="15">
        <v>1002</v>
      </c>
      <c r="K203" s="14"/>
      <c r="L203" s="31">
        <f t="shared" si="13"/>
        <v>1002</v>
      </c>
      <c r="M203" s="251"/>
      <c r="N203" s="255"/>
      <c r="O203" s="223"/>
    </row>
    <row r="204" spans="1:15" ht="22.5" customHeight="1">
      <c r="A204" s="220"/>
      <c r="B204" s="260"/>
      <c r="C204" s="260"/>
      <c r="D204" s="241"/>
      <c r="E204" s="212"/>
      <c r="F204" s="142" t="s">
        <v>774</v>
      </c>
      <c r="G204" s="297"/>
      <c r="H204" s="255"/>
      <c r="I204" s="285"/>
      <c r="J204" s="15">
        <v>4099.68</v>
      </c>
      <c r="K204" s="14"/>
      <c r="L204" s="31">
        <f t="shared" si="13"/>
        <v>4099.68</v>
      </c>
      <c r="M204" s="251"/>
      <c r="N204" s="255"/>
      <c r="O204" s="223"/>
    </row>
    <row r="205" spans="1:15" ht="27" customHeight="1">
      <c r="A205" s="220"/>
      <c r="B205" s="260"/>
      <c r="C205" s="260"/>
      <c r="D205" s="241"/>
      <c r="E205" s="212"/>
      <c r="F205" s="142" t="s">
        <v>487</v>
      </c>
      <c r="G205" s="298"/>
      <c r="H205" s="256"/>
      <c r="I205" s="285"/>
      <c r="J205" s="15"/>
      <c r="K205" s="14">
        <v>1008</v>
      </c>
      <c r="L205" s="31">
        <f>SUM(J205:K205)</f>
        <v>1008</v>
      </c>
      <c r="M205" s="252"/>
      <c r="N205" s="256"/>
      <c r="O205" s="224"/>
    </row>
    <row r="206" spans="1:15" ht="27" customHeight="1" thickBot="1">
      <c r="A206" s="221"/>
      <c r="B206" s="282"/>
      <c r="C206" s="282"/>
      <c r="D206" s="284"/>
      <c r="E206" s="214"/>
      <c r="F206" s="143" t="s">
        <v>477</v>
      </c>
      <c r="G206" s="299"/>
      <c r="H206" s="257"/>
      <c r="I206" s="268"/>
      <c r="J206" s="83">
        <v>696</v>
      </c>
      <c r="K206" s="82"/>
      <c r="L206" s="50">
        <f t="shared" si="13"/>
        <v>696</v>
      </c>
      <c r="M206" s="253"/>
      <c r="N206" s="257"/>
      <c r="O206" s="225"/>
    </row>
    <row r="207" spans="1:15" ht="13.5" thickBot="1">
      <c r="A207" s="171" t="s">
        <v>354</v>
      </c>
      <c r="B207" s="172"/>
      <c r="C207" s="172"/>
      <c r="D207" s="178"/>
      <c r="E207" s="179"/>
      <c r="F207" s="185"/>
      <c r="G207" s="180">
        <f>G208</f>
        <v>0</v>
      </c>
      <c r="H207" s="181">
        <f>H208</f>
        <v>25180</v>
      </c>
      <c r="I207" s="182">
        <f>I208</f>
        <v>25180</v>
      </c>
      <c r="J207" s="183">
        <f>SUM(J208:J217)</f>
        <v>0</v>
      </c>
      <c r="K207" s="181">
        <f>SUM(K208:K217)</f>
        <v>2650</v>
      </c>
      <c r="L207" s="182">
        <f>SUM(L208:L217)</f>
        <v>2650</v>
      </c>
      <c r="M207" s="180">
        <f>M208</f>
        <v>0</v>
      </c>
      <c r="N207" s="181">
        <f>N208</f>
        <v>22530</v>
      </c>
      <c r="O207" s="182">
        <f>O208</f>
        <v>22530</v>
      </c>
    </row>
    <row r="208" spans="1:15" ht="26.25" customHeight="1">
      <c r="A208" s="258" t="s">
        <v>355</v>
      </c>
      <c r="B208" s="281" t="s">
        <v>210</v>
      </c>
      <c r="C208" s="281" t="s">
        <v>356</v>
      </c>
      <c r="D208" s="283"/>
      <c r="E208" s="215"/>
      <c r="F208" s="90" t="s">
        <v>357</v>
      </c>
      <c r="G208" s="250"/>
      <c r="H208" s="254">
        <v>25180</v>
      </c>
      <c r="I208" s="267">
        <f>SUM(G208:H217)</f>
        <v>25180</v>
      </c>
      <c r="J208" s="12"/>
      <c r="K208" s="13">
        <v>265</v>
      </c>
      <c r="L208" s="21">
        <f aca="true" t="shared" si="14" ref="L208:L217">SUM(J208:K208)</f>
        <v>265</v>
      </c>
      <c r="M208" s="250">
        <f>G207-J207</f>
        <v>0</v>
      </c>
      <c r="N208" s="229">
        <f>H207-K207</f>
        <v>22530</v>
      </c>
      <c r="O208" s="222">
        <f>SUM(M208:N217)</f>
        <v>22530</v>
      </c>
    </row>
    <row r="209" spans="1:15" ht="12.75">
      <c r="A209" s="220"/>
      <c r="B209" s="260"/>
      <c r="C209" s="260"/>
      <c r="D209" s="241"/>
      <c r="E209" s="216"/>
      <c r="F209" s="91" t="s">
        <v>488</v>
      </c>
      <c r="G209" s="251"/>
      <c r="H209" s="255"/>
      <c r="I209" s="285"/>
      <c r="J209" s="15"/>
      <c r="K209" s="14">
        <v>265</v>
      </c>
      <c r="L209" s="31">
        <f t="shared" si="14"/>
        <v>265</v>
      </c>
      <c r="M209" s="251"/>
      <c r="N209" s="231"/>
      <c r="O209" s="223"/>
    </row>
    <row r="210" spans="1:15" ht="12.75">
      <c r="A210" s="220"/>
      <c r="B210" s="260"/>
      <c r="C210" s="260"/>
      <c r="D210" s="241"/>
      <c r="E210" s="216"/>
      <c r="F210" s="91" t="s">
        <v>489</v>
      </c>
      <c r="G210" s="251"/>
      <c r="H210" s="255"/>
      <c r="I210" s="285"/>
      <c r="J210" s="15"/>
      <c r="K210" s="14">
        <v>265</v>
      </c>
      <c r="L210" s="31">
        <f t="shared" si="14"/>
        <v>265</v>
      </c>
      <c r="M210" s="251"/>
      <c r="N210" s="231"/>
      <c r="O210" s="223"/>
    </row>
    <row r="211" spans="1:15" ht="12.75">
      <c r="A211" s="220"/>
      <c r="B211" s="260"/>
      <c r="C211" s="260"/>
      <c r="D211" s="241"/>
      <c r="E211" s="216"/>
      <c r="F211" s="91" t="s">
        <v>488</v>
      </c>
      <c r="G211" s="251"/>
      <c r="H211" s="255"/>
      <c r="I211" s="285"/>
      <c r="J211" s="15"/>
      <c r="K211" s="14">
        <v>265</v>
      </c>
      <c r="L211" s="31">
        <f t="shared" si="14"/>
        <v>265</v>
      </c>
      <c r="M211" s="251"/>
      <c r="N211" s="231"/>
      <c r="O211" s="223"/>
    </row>
    <row r="212" spans="1:15" ht="12.75">
      <c r="A212" s="220"/>
      <c r="B212" s="260"/>
      <c r="C212" s="260"/>
      <c r="D212" s="241"/>
      <c r="E212" s="216"/>
      <c r="F212" s="91" t="s">
        <v>489</v>
      </c>
      <c r="G212" s="251"/>
      <c r="H212" s="255"/>
      <c r="I212" s="285"/>
      <c r="J212" s="15"/>
      <c r="K212" s="14">
        <v>265</v>
      </c>
      <c r="L212" s="31">
        <f t="shared" si="14"/>
        <v>265</v>
      </c>
      <c r="M212" s="251"/>
      <c r="N212" s="231"/>
      <c r="O212" s="223"/>
    </row>
    <row r="213" spans="1:15" ht="12.75">
      <c r="A213" s="220"/>
      <c r="B213" s="260"/>
      <c r="C213" s="260"/>
      <c r="D213" s="241"/>
      <c r="E213" s="216"/>
      <c r="F213" s="91" t="s">
        <v>489</v>
      </c>
      <c r="G213" s="251"/>
      <c r="H213" s="255"/>
      <c r="I213" s="285"/>
      <c r="J213" s="15"/>
      <c r="K213" s="14">
        <v>265</v>
      </c>
      <c r="L213" s="31">
        <f t="shared" si="14"/>
        <v>265</v>
      </c>
      <c r="M213" s="251"/>
      <c r="N213" s="231"/>
      <c r="O213" s="223"/>
    </row>
    <row r="214" spans="1:15" ht="12.75">
      <c r="A214" s="220"/>
      <c r="B214" s="260"/>
      <c r="C214" s="260"/>
      <c r="D214" s="241"/>
      <c r="E214" s="216"/>
      <c r="F214" s="91" t="s">
        <v>488</v>
      </c>
      <c r="G214" s="251"/>
      <c r="H214" s="255"/>
      <c r="I214" s="285"/>
      <c r="J214" s="15"/>
      <c r="K214" s="14">
        <v>265</v>
      </c>
      <c r="L214" s="31">
        <f t="shared" si="14"/>
        <v>265</v>
      </c>
      <c r="M214" s="251"/>
      <c r="N214" s="231"/>
      <c r="O214" s="223"/>
    </row>
    <row r="215" spans="1:15" ht="12.75">
      <c r="A215" s="220"/>
      <c r="B215" s="260"/>
      <c r="C215" s="260"/>
      <c r="D215" s="241"/>
      <c r="E215" s="216"/>
      <c r="F215" s="91" t="s">
        <v>490</v>
      </c>
      <c r="G215" s="251"/>
      <c r="H215" s="255"/>
      <c r="I215" s="285"/>
      <c r="J215" s="15"/>
      <c r="K215" s="14">
        <v>265</v>
      </c>
      <c r="L215" s="31">
        <f t="shared" si="14"/>
        <v>265</v>
      </c>
      <c r="M215" s="251"/>
      <c r="N215" s="231"/>
      <c r="O215" s="223"/>
    </row>
    <row r="216" spans="1:15" ht="12.75">
      <c r="A216" s="220"/>
      <c r="B216" s="260"/>
      <c r="C216" s="260"/>
      <c r="D216" s="241"/>
      <c r="E216" s="216"/>
      <c r="F216" s="91" t="s">
        <v>488</v>
      </c>
      <c r="G216" s="251"/>
      <c r="H216" s="255"/>
      <c r="I216" s="285"/>
      <c r="J216" s="15"/>
      <c r="K216" s="14">
        <v>265</v>
      </c>
      <c r="L216" s="31">
        <f t="shared" si="14"/>
        <v>265</v>
      </c>
      <c r="M216" s="251"/>
      <c r="N216" s="231"/>
      <c r="O216" s="223"/>
    </row>
    <row r="217" spans="1:15" ht="13.5" thickBot="1">
      <c r="A217" s="221"/>
      <c r="B217" s="282"/>
      <c r="C217" s="282"/>
      <c r="D217" s="284"/>
      <c r="E217" s="217"/>
      <c r="F217" s="74" t="s">
        <v>488</v>
      </c>
      <c r="G217" s="252"/>
      <c r="H217" s="256"/>
      <c r="I217" s="268"/>
      <c r="J217" s="18"/>
      <c r="K217" s="19">
        <v>265</v>
      </c>
      <c r="L217" s="20">
        <f t="shared" si="14"/>
        <v>265</v>
      </c>
      <c r="M217" s="252"/>
      <c r="N217" s="232"/>
      <c r="O217" s="224"/>
    </row>
    <row r="218" spans="1:15" ht="13.5" thickBot="1">
      <c r="A218" s="171" t="s">
        <v>358</v>
      </c>
      <c r="B218" s="172"/>
      <c r="C218" s="172"/>
      <c r="D218" s="178"/>
      <c r="E218" s="179"/>
      <c r="F218" s="179"/>
      <c r="G218" s="180">
        <f>G219</f>
        <v>0</v>
      </c>
      <c r="H218" s="181">
        <f>H219</f>
        <v>9700</v>
      </c>
      <c r="I218" s="182">
        <f>I219</f>
        <v>9700</v>
      </c>
      <c r="J218" s="183">
        <f>SUM(J219:J221)</f>
        <v>0</v>
      </c>
      <c r="K218" s="181">
        <f>SUM(K219:K221)</f>
        <v>1260</v>
      </c>
      <c r="L218" s="182">
        <f>SUM(L219:L221)</f>
        <v>1260</v>
      </c>
      <c r="M218" s="180">
        <f>M219</f>
        <v>0</v>
      </c>
      <c r="N218" s="181">
        <f>N219</f>
        <v>8440</v>
      </c>
      <c r="O218" s="182">
        <f>O219</f>
        <v>8440</v>
      </c>
    </row>
    <row r="219" spans="1:15" ht="22.5">
      <c r="A219" s="258" t="s">
        <v>359</v>
      </c>
      <c r="B219" s="281" t="s">
        <v>210</v>
      </c>
      <c r="C219" s="281" t="s">
        <v>360</v>
      </c>
      <c r="D219" s="283"/>
      <c r="E219" s="215"/>
      <c r="F219" s="90" t="s">
        <v>775</v>
      </c>
      <c r="G219" s="250"/>
      <c r="H219" s="254">
        <v>9700</v>
      </c>
      <c r="I219" s="267">
        <f>SUM(G219:H221)</f>
        <v>9700</v>
      </c>
      <c r="J219" s="12"/>
      <c r="K219" s="92">
        <v>420</v>
      </c>
      <c r="L219" s="21">
        <f>SUM(J219:K219)</f>
        <v>420</v>
      </c>
      <c r="M219" s="250">
        <f>G218-J218</f>
        <v>0</v>
      </c>
      <c r="N219" s="229">
        <f>H218-K218</f>
        <v>8440</v>
      </c>
      <c r="O219" s="222">
        <f>SUM(M219:N221)</f>
        <v>8440</v>
      </c>
    </row>
    <row r="220" spans="1:15" ht="12.75">
      <c r="A220" s="220"/>
      <c r="B220" s="260"/>
      <c r="C220" s="260"/>
      <c r="D220" s="241"/>
      <c r="E220" s="216"/>
      <c r="F220" s="91" t="s">
        <v>361</v>
      </c>
      <c r="G220" s="251"/>
      <c r="H220" s="255"/>
      <c r="I220" s="285"/>
      <c r="J220" s="15"/>
      <c r="K220" s="93">
        <v>420</v>
      </c>
      <c r="L220" s="31">
        <f>SUM(J220:K220)</f>
        <v>420</v>
      </c>
      <c r="M220" s="251"/>
      <c r="N220" s="231"/>
      <c r="O220" s="223"/>
    </row>
    <row r="221" spans="1:15" ht="13.5" thickBot="1">
      <c r="A221" s="221"/>
      <c r="B221" s="282"/>
      <c r="C221" s="282"/>
      <c r="D221" s="284"/>
      <c r="E221" s="217"/>
      <c r="F221" s="74" t="s">
        <v>361</v>
      </c>
      <c r="G221" s="252"/>
      <c r="H221" s="256"/>
      <c r="I221" s="268"/>
      <c r="J221" s="18"/>
      <c r="K221" s="89">
        <v>420</v>
      </c>
      <c r="L221" s="20">
        <f>SUM(J221:K221)</f>
        <v>420</v>
      </c>
      <c r="M221" s="252"/>
      <c r="N221" s="232"/>
      <c r="O221" s="224"/>
    </row>
    <row r="222" spans="1:15" ht="13.5" thickBot="1">
      <c r="A222" s="171" t="s">
        <v>362</v>
      </c>
      <c r="B222" s="172"/>
      <c r="C222" s="172"/>
      <c r="D222" s="178"/>
      <c r="E222" s="179"/>
      <c r="F222" s="179"/>
      <c r="G222" s="180">
        <f>G223</f>
        <v>2000</v>
      </c>
      <c r="H222" s="181">
        <f>H223</f>
        <v>22803</v>
      </c>
      <c r="I222" s="182">
        <f>I223</f>
        <v>24803</v>
      </c>
      <c r="J222" s="183">
        <f>SUM(J223:J228)</f>
        <v>1903</v>
      </c>
      <c r="K222" s="181">
        <f>SUM(K223:K228)</f>
        <v>17459.11</v>
      </c>
      <c r="L222" s="182">
        <f>SUM(L223:L228)</f>
        <v>19362.11</v>
      </c>
      <c r="M222" s="180">
        <f>M223</f>
        <v>97</v>
      </c>
      <c r="N222" s="181">
        <f>N223</f>
        <v>5343.889999999999</v>
      </c>
      <c r="O222" s="182">
        <f>O223</f>
        <v>5440.889999999999</v>
      </c>
    </row>
    <row r="223" spans="1:15" ht="22.5">
      <c r="A223" s="258" t="s">
        <v>363</v>
      </c>
      <c r="B223" s="281" t="s">
        <v>210</v>
      </c>
      <c r="C223" s="281" t="s">
        <v>364</v>
      </c>
      <c r="D223" s="281"/>
      <c r="E223" s="258"/>
      <c r="F223" s="90" t="s">
        <v>365</v>
      </c>
      <c r="G223" s="250">
        <v>2000</v>
      </c>
      <c r="H223" s="254">
        <v>22803</v>
      </c>
      <c r="I223" s="267">
        <f>SUM(G223:H228)</f>
        <v>24803</v>
      </c>
      <c r="J223" s="12"/>
      <c r="K223" s="13">
        <v>5199.98</v>
      </c>
      <c r="L223" s="21">
        <f aca="true" t="shared" si="15" ref="L223:L228">SUM(J223:K223)</f>
        <v>5199.98</v>
      </c>
      <c r="M223" s="293">
        <f>G222-J222</f>
        <v>97</v>
      </c>
      <c r="N223" s="254">
        <f>H222-K222</f>
        <v>5343.889999999999</v>
      </c>
      <c r="O223" s="222">
        <f>SUM(M223:N228)</f>
        <v>5440.889999999999</v>
      </c>
    </row>
    <row r="224" spans="1:15" ht="12.75">
      <c r="A224" s="220"/>
      <c r="B224" s="260"/>
      <c r="C224" s="260"/>
      <c r="D224" s="260"/>
      <c r="E224" s="220"/>
      <c r="F224" s="91" t="s">
        <v>366</v>
      </c>
      <c r="G224" s="251"/>
      <c r="H224" s="255"/>
      <c r="I224" s="285"/>
      <c r="J224" s="15"/>
      <c r="K224" s="14">
        <v>3150.61</v>
      </c>
      <c r="L224" s="31">
        <f t="shared" si="15"/>
        <v>3150.61</v>
      </c>
      <c r="M224" s="294"/>
      <c r="N224" s="255"/>
      <c r="O224" s="223"/>
    </row>
    <row r="225" spans="1:15" ht="22.5">
      <c r="A225" s="220"/>
      <c r="B225" s="260"/>
      <c r="C225" s="260"/>
      <c r="D225" s="260"/>
      <c r="E225" s="220"/>
      <c r="F225" s="91" t="s">
        <v>776</v>
      </c>
      <c r="G225" s="251"/>
      <c r="H225" s="255"/>
      <c r="I225" s="285"/>
      <c r="J225" s="15"/>
      <c r="K225" s="14">
        <v>3306</v>
      </c>
      <c r="L225" s="31">
        <f t="shared" si="15"/>
        <v>3306</v>
      </c>
      <c r="M225" s="294"/>
      <c r="N225" s="255"/>
      <c r="O225" s="223"/>
    </row>
    <row r="226" spans="1:15" ht="22.5">
      <c r="A226" s="220"/>
      <c r="B226" s="260"/>
      <c r="C226" s="260"/>
      <c r="D226" s="260"/>
      <c r="E226" s="220"/>
      <c r="F226" s="91" t="s">
        <v>777</v>
      </c>
      <c r="G226" s="251"/>
      <c r="H226" s="255"/>
      <c r="I226" s="285"/>
      <c r="J226" s="15"/>
      <c r="K226" s="14">
        <v>3306</v>
      </c>
      <c r="L226" s="31">
        <f t="shared" si="15"/>
        <v>3306</v>
      </c>
      <c r="M226" s="294"/>
      <c r="N226" s="255"/>
      <c r="O226" s="223"/>
    </row>
    <row r="227" spans="1:15" ht="22.5">
      <c r="A227" s="220"/>
      <c r="B227" s="260"/>
      <c r="C227" s="260"/>
      <c r="D227" s="260"/>
      <c r="E227" s="220"/>
      <c r="F227" s="91" t="s">
        <v>778</v>
      </c>
      <c r="G227" s="251"/>
      <c r="H227" s="255"/>
      <c r="I227" s="285"/>
      <c r="J227" s="15"/>
      <c r="K227" s="14">
        <v>2496.52</v>
      </c>
      <c r="L227" s="31">
        <f t="shared" si="15"/>
        <v>2496.52</v>
      </c>
      <c r="M227" s="294"/>
      <c r="N227" s="255"/>
      <c r="O227" s="223"/>
    </row>
    <row r="228" spans="1:15" ht="23.25" thickBot="1">
      <c r="A228" s="221"/>
      <c r="B228" s="282"/>
      <c r="C228" s="282"/>
      <c r="D228" s="282"/>
      <c r="E228" s="221"/>
      <c r="F228" s="74" t="s">
        <v>779</v>
      </c>
      <c r="G228" s="252"/>
      <c r="H228" s="256"/>
      <c r="I228" s="268"/>
      <c r="J228" s="18">
        <v>1903</v>
      </c>
      <c r="K228" s="19"/>
      <c r="L228" s="20">
        <f t="shared" si="15"/>
        <v>1903</v>
      </c>
      <c r="M228" s="295"/>
      <c r="N228" s="256"/>
      <c r="O228" s="224"/>
    </row>
    <row r="229" spans="1:15" ht="13.5" thickBot="1">
      <c r="A229" s="171" t="s">
        <v>367</v>
      </c>
      <c r="B229" s="172"/>
      <c r="C229" s="172"/>
      <c r="D229" s="178"/>
      <c r="E229" s="179"/>
      <c r="F229" s="179"/>
      <c r="G229" s="180">
        <f>G230</f>
        <v>0</v>
      </c>
      <c r="H229" s="181">
        <f>H230</f>
        <v>52262</v>
      </c>
      <c r="I229" s="182">
        <f>I230</f>
        <v>52262</v>
      </c>
      <c r="J229" s="183">
        <f>SUM(J230:J239)</f>
        <v>0</v>
      </c>
      <c r="K229" s="181">
        <f>SUM(K230:K239)</f>
        <v>43917.4</v>
      </c>
      <c r="L229" s="182">
        <f>SUM(L230:L239)</f>
        <v>43917.4</v>
      </c>
      <c r="M229" s="180">
        <f>M230</f>
        <v>0</v>
      </c>
      <c r="N229" s="181">
        <f>N230</f>
        <v>8344.599999999999</v>
      </c>
      <c r="O229" s="182">
        <f>O230</f>
        <v>8344.599999999999</v>
      </c>
    </row>
    <row r="230" spans="1:15" ht="22.5">
      <c r="A230" s="258" t="s">
        <v>368</v>
      </c>
      <c r="B230" s="281" t="s">
        <v>210</v>
      </c>
      <c r="C230" s="281" t="s">
        <v>369</v>
      </c>
      <c r="D230" s="283"/>
      <c r="E230" s="215"/>
      <c r="F230" s="90" t="s">
        <v>780</v>
      </c>
      <c r="G230" s="250"/>
      <c r="H230" s="254">
        <v>52262</v>
      </c>
      <c r="I230" s="267">
        <f>SUM(G230:H239)</f>
        <v>52262</v>
      </c>
      <c r="J230" s="12"/>
      <c r="K230" s="92">
        <v>2777.52</v>
      </c>
      <c r="L230" s="21">
        <f aca="true" t="shared" si="16" ref="L230:L239">SUM(J230:K230)</f>
        <v>2777.52</v>
      </c>
      <c r="M230" s="250">
        <f>G229-J229</f>
        <v>0</v>
      </c>
      <c r="N230" s="254">
        <f>H229-K229</f>
        <v>8344.599999999999</v>
      </c>
      <c r="O230" s="222">
        <f>SUM(M230:N239)</f>
        <v>8344.599999999999</v>
      </c>
    </row>
    <row r="231" spans="1:15" ht="12.75">
      <c r="A231" s="220"/>
      <c r="B231" s="260"/>
      <c r="C231" s="260"/>
      <c r="D231" s="241"/>
      <c r="E231" s="216"/>
      <c r="F231" s="91" t="s">
        <v>370</v>
      </c>
      <c r="G231" s="251"/>
      <c r="H231" s="255"/>
      <c r="I231" s="285"/>
      <c r="J231" s="15"/>
      <c r="K231" s="93">
        <v>4050.26</v>
      </c>
      <c r="L231" s="31">
        <f t="shared" si="16"/>
        <v>4050.26</v>
      </c>
      <c r="M231" s="251"/>
      <c r="N231" s="255"/>
      <c r="O231" s="223"/>
    </row>
    <row r="232" spans="1:15" ht="12.75">
      <c r="A232" s="220"/>
      <c r="B232" s="260"/>
      <c r="C232" s="260"/>
      <c r="D232" s="241"/>
      <c r="E232" s="216"/>
      <c r="F232" s="91" t="s">
        <v>371</v>
      </c>
      <c r="G232" s="251"/>
      <c r="H232" s="255"/>
      <c r="I232" s="285"/>
      <c r="J232" s="15"/>
      <c r="K232" s="93">
        <v>3516.76</v>
      </c>
      <c r="L232" s="31">
        <f t="shared" si="16"/>
        <v>3516.76</v>
      </c>
      <c r="M232" s="251"/>
      <c r="N232" s="255"/>
      <c r="O232" s="223"/>
    </row>
    <row r="233" spans="1:15" ht="12.75">
      <c r="A233" s="220"/>
      <c r="B233" s="260"/>
      <c r="C233" s="260"/>
      <c r="D233" s="241"/>
      <c r="E233" s="216"/>
      <c r="F233" s="91" t="s">
        <v>372</v>
      </c>
      <c r="G233" s="251"/>
      <c r="H233" s="255"/>
      <c r="I233" s="285"/>
      <c r="J233" s="15"/>
      <c r="K233" s="93">
        <v>3572.86</v>
      </c>
      <c r="L233" s="31">
        <f t="shared" si="16"/>
        <v>3572.86</v>
      </c>
      <c r="M233" s="251"/>
      <c r="N233" s="255"/>
      <c r="O233" s="223"/>
    </row>
    <row r="234" spans="1:15" ht="22.5">
      <c r="A234" s="220"/>
      <c r="B234" s="260"/>
      <c r="C234" s="260"/>
      <c r="D234" s="241"/>
      <c r="E234" s="216"/>
      <c r="F234" s="91" t="s">
        <v>781</v>
      </c>
      <c r="G234" s="251"/>
      <c r="H234" s="255"/>
      <c r="I234" s="285"/>
      <c r="J234" s="15"/>
      <c r="K234" s="93">
        <v>5000</v>
      </c>
      <c r="L234" s="31">
        <f t="shared" si="16"/>
        <v>5000</v>
      </c>
      <c r="M234" s="251"/>
      <c r="N234" s="255"/>
      <c r="O234" s="223"/>
    </row>
    <row r="235" spans="1:15" ht="12.75">
      <c r="A235" s="220"/>
      <c r="B235" s="260"/>
      <c r="C235" s="260"/>
      <c r="D235" s="241"/>
      <c r="E235" s="216"/>
      <c r="F235" s="91" t="s">
        <v>373</v>
      </c>
      <c r="G235" s="251"/>
      <c r="H235" s="255"/>
      <c r="I235" s="285"/>
      <c r="J235" s="15"/>
      <c r="K235" s="93">
        <v>5000</v>
      </c>
      <c r="L235" s="31">
        <f t="shared" si="16"/>
        <v>5000</v>
      </c>
      <c r="M235" s="251"/>
      <c r="N235" s="255"/>
      <c r="O235" s="223"/>
    </row>
    <row r="236" spans="1:15" ht="12.75">
      <c r="A236" s="220"/>
      <c r="B236" s="260"/>
      <c r="C236" s="260"/>
      <c r="D236" s="241"/>
      <c r="E236" s="216"/>
      <c r="F236" s="91" t="s">
        <v>373</v>
      </c>
      <c r="G236" s="251"/>
      <c r="H236" s="255"/>
      <c r="I236" s="285"/>
      <c r="J236" s="15"/>
      <c r="K236" s="93">
        <v>5000</v>
      </c>
      <c r="L236" s="31">
        <f t="shared" si="16"/>
        <v>5000</v>
      </c>
      <c r="M236" s="251"/>
      <c r="N236" s="255"/>
      <c r="O236" s="223"/>
    </row>
    <row r="237" spans="1:15" ht="12.75">
      <c r="A237" s="220"/>
      <c r="B237" s="260"/>
      <c r="C237" s="260"/>
      <c r="D237" s="241"/>
      <c r="E237" s="216"/>
      <c r="F237" s="91" t="s">
        <v>373</v>
      </c>
      <c r="G237" s="251"/>
      <c r="H237" s="255"/>
      <c r="I237" s="285"/>
      <c r="J237" s="15"/>
      <c r="K237" s="93">
        <v>5000</v>
      </c>
      <c r="L237" s="31">
        <f t="shared" si="16"/>
        <v>5000</v>
      </c>
      <c r="M237" s="251"/>
      <c r="N237" s="255"/>
      <c r="O237" s="223"/>
    </row>
    <row r="238" spans="1:15" ht="12.75">
      <c r="A238" s="220"/>
      <c r="B238" s="260"/>
      <c r="C238" s="260"/>
      <c r="D238" s="241"/>
      <c r="E238" s="216"/>
      <c r="F238" s="91" t="s">
        <v>373</v>
      </c>
      <c r="G238" s="251"/>
      <c r="H238" s="255"/>
      <c r="I238" s="285"/>
      <c r="J238" s="15"/>
      <c r="K238" s="93">
        <v>5000</v>
      </c>
      <c r="L238" s="31">
        <f t="shared" si="16"/>
        <v>5000</v>
      </c>
      <c r="M238" s="251"/>
      <c r="N238" s="255"/>
      <c r="O238" s="223"/>
    </row>
    <row r="239" spans="1:15" ht="13.5" thickBot="1">
      <c r="A239" s="221"/>
      <c r="B239" s="282"/>
      <c r="C239" s="282"/>
      <c r="D239" s="284"/>
      <c r="E239" s="217"/>
      <c r="F239" s="74" t="s">
        <v>373</v>
      </c>
      <c r="G239" s="252"/>
      <c r="H239" s="256"/>
      <c r="I239" s="268"/>
      <c r="J239" s="18"/>
      <c r="K239" s="89">
        <v>5000</v>
      </c>
      <c r="L239" s="20">
        <f t="shared" si="16"/>
        <v>5000</v>
      </c>
      <c r="M239" s="252"/>
      <c r="N239" s="256"/>
      <c r="O239" s="224"/>
    </row>
    <row r="240" spans="1:15" ht="13.5" thickBot="1">
      <c r="A240" s="171" t="s">
        <v>374</v>
      </c>
      <c r="B240" s="172"/>
      <c r="C240" s="172"/>
      <c r="D240" s="178"/>
      <c r="E240" s="179"/>
      <c r="F240" s="179"/>
      <c r="G240" s="180">
        <f>G241</f>
        <v>3000</v>
      </c>
      <c r="H240" s="181">
        <f>H241</f>
        <v>37494</v>
      </c>
      <c r="I240" s="182">
        <f>I241</f>
        <v>40494</v>
      </c>
      <c r="J240" s="183">
        <f>SUM(J241:J245)</f>
        <v>2460.66</v>
      </c>
      <c r="K240" s="181">
        <f>SUM(K241:K245)</f>
        <v>28815.54</v>
      </c>
      <c r="L240" s="182">
        <f>SUM(L241:L245)</f>
        <v>31276.2</v>
      </c>
      <c r="M240" s="180">
        <f>M241</f>
        <v>539.3400000000001</v>
      </c>
      <c r="N240" s="181">
        <f>N241</f>
        <v>8678.46</v>
      </c>
      <c r="O240" s="182">
        <f>O241</f>
        <v>9217.8</v>
      </c>
    </row>
    <row r="241" spans="1:15" ht="22.5">
      <c r="A241" s="303" t="s">
        <v>375</v>
      </c>
      <c r="B241" s="281" t="s">
        <v>210</v>
      </c>
      <c r="C241" s="281" t="s">
        <v>351</v>
      </c>
      <c r="D241" s="283"/>
      <c r="E241" s="215"/>
      <c r="F241" s="90" t="s">
        <v>376</v>
      </c>
      <c r="G241" s="250">
        <v>3000</v>
      </c>
      <c r="H241" s="254">
        <f>58865-21371</f>
        <v>37494</v>
      </c>
      <c r="I241" s="267">
        <f>SUM(G241:H245)</f>
        <v>40494</v>
      </c>
      <c r="J241" s="12"/>
      <c r="K241" s="92">
        <v>9000</v>
      </c>
      <c r="L241" s="21">
        <f>SUM(J241:K241)</f>
        <v>9000</v>
      </c>
      <c r="M241" s="250">
        <f>G240-J240</f>
        <v>539.3400000000001</v>
      </c>
      <c r="N241" s="254">
        <f>H240-K240</f>
        <v>8678.46</v>
      </c>
      <c r="O241" s="222">
        <f>SUM(M241:N245)</f>
        <v>9217.8</v>
      </c>
    </row>
    <row r="242" spans="1:15" ht="22.5">
      <c r="A242" s="304"/>
      <c r="B242" s="260"/>
      <c r="C242" s="260"/>
      <c r="D242" s="241"/>
      <c r="E242" s="216"/>
      <c r="F242" s="91" t="s">
        <v>377</v>
      </c>
      <c r="G242" s="251"/>
      <c r="H242" s="255"/>
      <c r="I242" s="285"/>
      <c r="J242" s="15"/>
      <c r="K242" s="93">
        <v>13210</v>
      </c>
      <c r="L242" s="31">
        <f>SUM(J242:K242)</f>
        <v>13210</v>
      </c>
      <c r="M242" s="251"/>
      <c r="N242" s="255"/>
      <c r="O242" s="223"/>
    </row>
    <row r="243" spans="1:15" ht="24.75" customHeight="1">
      <c r="A243" s="304"/>
      <c r="B243" s="260"/>
      <c r="C243" s="260"/>
      <c r="D243" s="241"/>
      <c r="E243" s="216"/>
      <c r="F243" s="91" t="s">
        <v>379</v>
      </c>
      <c r="G243" s="251"/>
      <c r="H243" s="255"/>
      <c r="I243" s="285"/>
      <c r="J243" s="15"/>
      <c r="K243" s="93">
        <v>6605.54</v>
      </c>
      <c r="L243" s="31">
        <f>SUM(J243:K243)</f>
        <v>6605.54</v>
      </c>
      <c r="M243" s="251"/>
      <c r="N243" s="255"/>
      <c r="O243" s="223"/>
    </row>
    <row r="244" spans="1:15" ht="27" customHeight="1">
      <c r="A244" s="304"/>
      <c r="B244" s="260"/>
      <c r="C244" s="260"/>
      <c r="D244" s="241"/>
      <c r="E244" s="216"/>
      <c r="F244" s="91" t="s">
        <v>380</v>
      </c>
      <c r="G244" s="251"/>
      <c r="H244" s="255"/>
      <c r="I244" s="285"/>
      <c r="J244" s="15">
        <v>1190.96</v>
      </c>
      <c r="K244" s="14"/>
      <c r="L244" s="31">
        <f>SUM(J244:K244)</f>
        <v>1190.96</v>
      </c>
      <c r="M244" s="251"/>
      <c r="N244" s="255"/>
      <c r="O244" s="223"/>
    </row>
    <row r="245" spans="1:15" ht="24.75" customHeight="1" thickBot="1">
      <c r="A245" s="305"/>
      <c r="B245" s="282"/>
      <c r="C245" s="282"/>
      <c r="D245" s="284"/>
      <c r="E245" s="217"/>
      <c r="F245" s="74" t="s">
        <v>381</v>
      </c>
      <c r="G245" s="252"/>
      <c r="H245" s="256"/>
      <c r="I245" s="268"/>
      <c r="J245" s="18">
        <v>1269.7</v>
      </c>
      <c r="K245" s="19"/>
      <c r="L245" s="20">
        <f>SUM(J245:K245)</f>
        <v>1269.7</v>
      </c>
      <c r="M245" s="252"/>
      <c r="N245" s="256"/>
      <c r="O245" s="224"/>
    </row>
    <row r="246" spans="1:15" ht="13.5" thickBot="1">
      <c r="A246" s="171" t="s">
        <v>382</v>
      </c>
      <c r="B246" s="172"/>
      <c r="C246" s="172"/>
      <c r="D246" s="178"/>
      <c r="E246" s="179"/>
      <c r="F246" s="179"/>
      <c r="G246" s="180">
        <f aca="true" t="shared" si="17" ref="G246:O246">G247</f>
        <v>2000</v>
      </c>
      <c r="H246" s="181">
        <f t="shared" si="17"/>
        <v>7530</v>
      </c>
      <c r="I246" s="182">
        <f t="shared" si="17"/>
        <v>9530</v>
      </c>
      <c r="J246" s="183">
        <f t="shared" si="17"/>
        <v>1500</v>
      </c>
      <c r="K246" s="181">
        <f t="shared" si="17"/>
        <v>0</v>
      </c>
      <c r="L246" s="182">
        <f t="shared" si="17"/>
        <v>1500</v>
      </c>
      <c r="M246" s="180">
        <f t="shared" si="17"/>
        <v>500</v>
      </c>
      <c r="N246" s="181">
        <f t="shared" si="17"/>
        <v>7530</v>
      </c>
      <c r="O246" s="182">
        <f t="shared" si="17"/>
        <v>8030</v>
      </c>
    </row>
    <row r="247" spans="1:16" ht="38.25" customHeight="1" thickBot="1">
      <c r="A247" s="75" t="s">
        <v>383</v>
      </c>
      <c r="B247" s="76" t="s">
        <v>210</v>
      </c>
      <c r="C247" s="76" t="s">
        <v>352</v>
      </c>
      <c r="D247" s="77"/>
      <c r="E247" s="78"/>
      <c r="F247" s="99" t="s">
        <v>782</v>
      </c>
      <c r="G247" s="42">
        <v>2000</v>
      </c>
      <c r="H247" s="38">
        <f>17530-10000</f>
        <v>7530</v>
      </c>
      <c r="I247" s="94">
        <f>SUM(G247:H247)</f>
        <v>9530</v>
      </c>
      <c r="J247" s="37">
        <v>1500</v>
      </c>
      <c r="K247" s="38"/>
      <c r="L247" s="39">
        <f>J247+K247</f>
        <v>1500</v>
      </c>
      <c r="M247" s="42">
        <f>G246-J246</f>
        <v>500</v>
      </c>
      <c r="N247" s="151">
        <f>H246-K246</f>
        <v>7530</v>
      </c>
      <c r="O247" s="39">
        <f>SUM(M247:N247)</f>
        <v>8030</v>
      </c>
      <c r="P247">
        <f>N247+N219+N208+N184+N181+N143+N132+N91+N78+N76+N52+N50+N38+N35+N22</f>
        <v>260947</v>
      </c>
    </row>
    <row r="248" spans="1:15" ht="13.5" thickBot="1">
      <c r="A248" s="171" t="s">
        <v>384</v>
      </c>
      <c r="B248" s="172"/>
      <c r="C248" s="172"/>
      <c r="D248" s="178"/>
      <c r="E248" s="179"/>
      <c r="F248" s="179"/>
      <c r="G248" s="180">
        <f aca="true" t="shared" si="18" ref="G248:L248">SUM(G249:G258)</f>
        <v>19930</v>
      </c>
      <c r="H248" s="181">
        <f t="shared" si="18"/>
        <v>339063</v>
      </c>
      <c r="I248" s="182">
        <f t="shared" si="18"/>
        <v>358993</v>
      </c>
      <c r="J248" s="183">
        <f t="shared" si="18"/>
        <v>19928.800000000003</v>
      </c>
      <c r="K248" s="181">
        <f t="shared" si="18"/>
        <v>339061.58</v>
      </c>
      <c r="L248" s="182">
        <f t="shared" si="18"/>
        <v>358990.38000000006</v>
      </c>
      <c r="M248" s="180">
        <f>M249+M250+M251+M252+M253+M255+M256+M258</f>
        <v>1.1999999999970896</v>
      </c>
      <c r="N248" s="181">
        <f>N249+N250+N251+N252+N253+N255+N256+N258</f>
        <v>1.4199999999837019</v>
      </c>
      <c r="O248" s="182">
        <f>O249+O250+O251+O252+O253+O255+O256+O258</f>
        <v>2.6199999999807915</v>
      </c>
    </row>
    <row r="249" spans="1:15" ht="48.75" thickBot="1">
      <c r="A249" s="75" t="s">
        <v>385</v>
      </c>
      <c r="B249" s="96" t="s">
        <v>210</v>
      </c>
      <c r="C249" s="96" t="s">
        <v>386</v>
      </c>
      <c r="D249" s="97"/>
      <c r="E249" s="98"/>
      <c r="F249" s="99" t="s">
        <v>387</v>
      </c>
      <c r="G249" s="42"/>
      <c r="H249" s="38">
        <v>57213</v>
      </c>
      <c r="I249" s="94">
        <f>SUM(G249:H249)</f>
        <v>57213</v>
      </c>
      <c r="J249" s="37"/>
      <c r="K249" s="38">
        <v>57212.4</v>
      </c>
      <c r="L249" s="94">
        <f>J249+K249</f>
        <v>57212.4</v>
      </c>
      <c r="M249" s="263">
        <f>G248-J248</f>
        <v>1.1999999999970896</v>
      </c>
      <c r="N249" s="265">
        <f>H248-K248</f>
        <v>1.4199999999837019</v>
      </c>
      <c r="O249" s="267">
        <f>SUM(M249:N249)</f>
        <v>2.6199999999807915</v>
      </c>
    </row>
    <row r="250" spans="1:15" ht="72.75" thickBot="1">
      <c r="A250" s="75" t="s">
        <v>538</v>
      </c>
      <c r="B250" s="76" t="s">
        <v>210</v>
      </c>
      <c r="C250" s="76" t="s">
        <v>784</v>
      </c>
      <c r="D250" s="77"/>
      <c r="E250" s="78"/>
      <c r="F250" s="99" t="s">
        <v>783</v>
      </c>
      <c r="G250" s="42"/>
      <c r="H250" s="38">
        <v>59087</v>
      </c>
      <c r="I250" s="94">
        <f>SUM(G250:H250)</f>
        <v>59087</v>
      </c>
      <c r="J250" s="37"/>
      <c r="K250" s="38">
        <v>59086.68</v>
      </c>
      <c r="L250" s="94">
        <f>J250+K250</f>
        <v>59086.68</v>
      </c>
      <c r="M250" s="287"/>
      <c r="N250" s="286"/>
      <c r="O250" s="285"/>
    </row>
    <row r="251" spans="1:15" ht="72.75" thickBot="1">
      <c r="A251" s="75" t="s">
        <v>539</v>
      </c>
      <c r="B251" s="76" t="s">
        <v>210</v>
      </c>
      <c r="C251" s="76" t="s">
        <v>340</v>
      </c>
      <c r="D251" s="77"/>
      <c r="E251" s="78"/>
      <c r="F251" s="99" t="s">
        <v>785</v>
      </c>
      <c r="G251" s="42"/>
      <c r="H251" s="38">
        <v>25571</v>
      </c>
      <c r="I251" s="94">
        <f>SUM(G251:H251)</f>
        <v>25571</v>
      </c>
      <c r="J251" s="37"/>
      <c r="K251" s="38">
        <v>25570.8</v>
      </c>
      <c r="L251" s="94">
        <f>J251+K251</f>
        <v>25570.8</v>
      </c>
      <c r="M251" s="287"/>
      <c r="N251" s="286"/>
      <c r="O251" s="285"/>
    </row>
    <row r="252" spans="1:15" ht="60.75" thickBot="1">
      <c r="A252" s="75" t="s">
        <v>540</v>
      </c>
      <c r="B252" s="76" t="s">
        <v>210</v>
      </c>
      <c r="C252" s="76" t="s">
        <v>541</v>
      </c>
      <c r="D252" s="77"/>
      <c r="E252" s="78"/>
      <c r="F252" s="99" t="s">
        <v>542</v>
      </c>
      <c r="G252" s="81">
        <v>6002</v>
      </c>
      <c r="H252" s="80"/>
      <c r="I252" s="100">
        <f>SUM(G252:H252)</f>
        <v>6002</v>
      </c>
      <c r="J252" s="37">
        <v>6001.6</v>
      </c>
      <c r="K252" s="38"/>
      <c r="L252" s="94">
        <f>J252+K252</f>
        <v>6001.6</v>
      </c>
      <c r="M252" s="287"/>
      <c r="N252" s="286"/>
      <c r="O252" s="285"/>
    </row>
    <row r="253" spans="1:15" ht="51.75" customHeight="1">
      <c r="A253" s="239" t="s">
        <v>543</v>
      </c>
      <c r="B253" s="281" t="s">
        <v>210</v>
      </c>
      <c r="C253" s="281" t="s">
        <v>544</v>
      </c>
      <c r="D253" s="283"/>
      <c r="E253" s="215"/>
      <c r="F253" s="317" t="s">
        <v>786</v>
      </c>
      <c r="G253" s="250"/>
      <c r="H253" s="254">
        <v>44417</v>
      </c>
      <c r="I253" s="267">
        <f>SUM(G253:H254)</f>
        <v>44417</v>
      </c>
      <c r="J253" s="293"/>
      <c r="K253" s="254">
        <v>44416.8</v>
      </c>
      <c r="L253" s="291">
        <f>SUM(J253:K254)</f>
        <v>44416.8</v>
      </c>
      <c r="M253" s="287"/>
      <c r="N253" s="286"/>
      <c r="O253" s="285"/>
    </row>
    <row r="254" spans="1:15" ht="21" customHeight="1" thickBot="1">
      <c r="A254" s="240"/>
      <c r="B254" s="282"/>
      <c r="C254" s="282"/>
      <c r="D254" s="284"/>
      <c r="E254" s="217"/>
      <c r="F254" s="318"/>
      <c r="G254" s="253"/>
      <c r="H254" s="257"/>
      <c r="I254" s="268"/>
      <c r="J254" s="326"/>
      <c r="K254" s="257"/>
      <c r="L254" s="292"/>
      <c r="M254" s="287"/>
      <c r="N254" s="286"/>
      <c r="O254" s="285"/>
    </row>
    <row r="255" spans="1:15" ht="84" customHeight="1" thickBot="1">
      <c r="A255" s="71" t="s">
        <v>271</v>
      </c>
      <c r="B255" s="68" t="s">
        <v>210</v>
      </c>
      <c r="C255" s="68" t="s">
        <v>545</v>
      </c>
      <c r="D255" s="69"/>
      <c r="E255" s="70"/>
      <c r="F255" s="101" t="s">
        <v>787</v>
      </c>
      <c r="G255" s="81"/>
      <c r="H255" s="80">
        <v>58404</v>
      </c>
      <c r="I255" s="49">
        <f>SUM(G255:H255)</f>
        <v>58404</v>
      </c>
      <c r="J255" s="79"/>
      <c r="K255" s="80">
        <v>58404</v>
      </c>
      <c r="L255" s="49">
        <f>SUM(J255:K255)</f>
        <v>58404</v>
      </c>
      <c r="M255" s="287"/>
      <c r="N255" s="286"/>
      <c r="O255" s="285"/>
    </row>
    <row r="256" spans="1:15" ht="84" customHeight="1" thickBot="1">
      <c r="A256" s="71" t="s">
        <v>303</v>
      </c>
      <c r="B256" s="68" t="s">
        <v>210</v>
      </c>
      <c r="C256" s="139" t="s">
        <v>537</v>
      </c>
      <c r="D256" s="140"/>
      <c r="E256" s="141"/>
      <c r="F256" s="101" t="s">
        <v>264</v>
      </c>
      <c r="G256" s="81"/>
      <c r="H256" s="80">
        <v>31371</v>
      </c>
      <c r="I256" s="49">
        <f>SUM(G256:H256)</f>
        <v>31371</v>
      </c>
      <c r="J256" s="79"/>
      <c r="K256" s="80">
        <v>31370.9</v>
      </c>
      <c r="L256" s="49">
        <f>SUM(J256:K256)</f>
        <v>31370.9</v>
      </c>
      <c r="M256" s="287"/>
      <c r="N256" s="286"/>
      <c r="O256" s="285"/>
    </row>
    <row r="257" spans="1:15" ht="84" customHeight="1" thickBot="1">
      <c r="A257" s="71" t="s">
        <v>723</v>
      </c>
      <c r="B257" s="68" t="s">
        <v>210</v>
      </c>
      <c r="C257" s="139" t="s">
        <v>558</v>
      </c>
      <c r="D257" s="140"/>
      <c r="E257" s="141"/>
      <c r="F257" s="101" t="s">
        <v>559</v>
      </c>
      <c r="G257" s="81"/>
      <c r="H257" s="80">
        <v>63000</v>
      </c>
      <c r="I257" s="49">
        <f>SUM(G257:H257)</f>
        <v>63000</v>
      </c>
      <c r="J257" s="79"/>
      <c r="K257" s="80">
        <v>63000</v>
      </c>
      <c r="L257" s="49">
        <f>SUM(J257:K257)</f>
        <v>63000</v>
      </c>
      <c r="M257" s="287"/>
      <c r="N257" s="286"/>
      <c r="O257" s="285"/>
    </row>
    <row r="258" spans="1:15" ht="84" customHeight="1" thickBot="1">
      <c r="A258" s="75" t="s">
        <v>272</v>
      </c>
      <c r="B258" s="68" t="s">
        <v>210</v>
      </c>
      <c r="C258" s="139" t="s">
        <v>273</v>
      </c>
      <c r="D258" s="140"/>
      <c r="E258" s="141"/>
      <c r="F258" s="101" t="s">
        <v>59</v>
      </c>
      <c r="G258" s="196">
        <v>13928</v>
      </c>
      <c r="H258" s="80"/>
      <c r="I258" s="49">
        <f>SUM(G258:H258)</f>
        <v>13928</v>
      </c>
      <c r="J258" s="197">
        <v>13927.2</v>
      </c>
      <c r="K258" s="80"/>
      <c r="L258" s="49">
        <f>SUM(J258:K258)</f>
        <v>13927.2</v>
      </c>
      <c r="M258" s="264"/>
      <c r="N258" s="266"/>
      <c r="O258" s="268"/>
    </row>
    <row r="259" spans="1:15" ht="24.75" thickBot="1">
      <c r="A259" s="75" t="s">
        <v>546</v>
      </c>
      <c r="B259" s="96"/>
      <c r="C259" s="96" t="s">
        <v>547</v>
      </c>
      <c r="D259" s="97"/>
      <c r="E259" s="98"/>
      <c r="F259" s="98"/>
      <c r="G259" s="160">
        <f>G19+G21+G34+G37+G49+G51+G56+G64+G67+G75+G77+G87+G90+G92+G110+G131+G142+G154+G172+G175+G180+G183+G189+G207+G218+G222+G229+G240+G246+G248</f>
        <v>295794</v>
      </c>
      <c r="H259" s="102">
        <f aca="true" t="shared" si="19" ref="H259:O259">H19+H21+H34+H37+H49+H51+H56+H64+H67+H75+H77+H87+H90+H92+H110+H131+H142+H154+H172+H175+H180+H183+H189+H207+H218+H222+H229+H240+H246+H248</f>
        <v>929470</v>
      </c>
      <c r="I259" s="103">
        <f t="shared" si="19"/>
        <v>1225264</v>
      </c>
      <c r="J259" s="102">
        <f t="shared" si="19"/>
        <v>194469.43</v>
      </c>
      <c r="K259" s="104">
        <f t="shared" si="19"/>
        <v>600329.72</v>
      </c>
      <c r="L259" s="103">
        <f t="shared" si="19"/>
        <v>798576.6100000001</v>
      </c>
      <c r="M259" s="102">
        <f t="shared" si="19"/>
        <v>101324.56999999999</v>
      </c>
      <c r="N259" s="104">
        <f t="shared" si="19"/>
        <v>329140.28</v>
      </c>
      <c r="O259" s="103">
        <f t="shared" si="19"/>
        <v>426687.3899999999</v>
      </c>
    </row>
    <row r="260" spans="1:15" ht="13.5" hidden="1" thickBot="1">
      <c r="A260" s="111" t="s">
        <v>788</v>
      </c>
      <c r="B260" s="112"/>
      <c r="C260" s="112"/>
      <c r="D260" s="113"/>
      <c r="E260" s="114"/>
      <c r="F260" s="114"/>
      <c r="G260" s="109">
        <v>295794</v>
      </c>
      <c r="H260" s="109">
        <v>929470</v>
      </c>
      <c r="I260" s="109">
        <f>SUM(G260:H260)</f>
        <v>1225264</v>
      </c>
      <c r="J260" s="109"/>
      <c r="K260" s="109"/>
      <c r="L260" s="109"/>
      <c r="M260" s="110"/>
      <c r="N260" s="110"/>
      <c r="O260" s="110"/>
    </row>
    <row r="261" spans="1:15" ht="13.5" hidden="1" thickBot="1">
      <c r="A261" s="105"/>
      <c r="B261" s="106"/>
      <c r="C261" s="106"/>
      <c r="D261" s="107"/>
      <c r="E261" s="108"/>
      <c r="F261" s="108"/>
      <c r="G261" s="110">
        <f>G259-G260</f>
        <v>0</v>
      </c>
      <c r="H261" s="110">
        <f>H259-H260</f>
        <v>0</v>
      </c>
      <c r="I261" s="110">
        <f>I259-I260</f>
        <v>0</v>
      </c>
      <c r="J261" s="109"/>
      <c r="K261" s="109"/>
      <c r="L261" s="109"/>
      <c r="M261" s="110"/>
      <c r="N261" s="110"/>
      <c r="O261" s="110"/>
    </row>
    <row r="262" spans="1:15" ht="13.5" thickBot="1">
      <c r="A262" s="171" t="s">
        <v>548</v>
      </c>
      <c r="B262" s="172"/>
      <c r="C262" s="172"/>
      <c r="D262" s="178"/>
      <c r="E262" s="179"/>
      <c r="F262" s="179"/>
      <c r="G262" s="180">
        <f aca="true" t="shared" si="20" ref="G262:O262">G263</f>
        <v>0</v>
      </c>
      <c r="H262" s="181">
        <f t="shared" si="20"/>
        <v>918</v>
      </c>
      <c r="I262" s="182">
        <f t="shared" si="20"/>
        <v>918</v>
      </c>
      <c r="J262" s="183">
        <f t="shared" si="20"/>
        <v>0</v>
      </c>
      <c r="K262" s="181">
        <f t="shared" si="20"/>
        <v>0</v>
      </c>
      <c r="L262" s="182">
        <f t="shared" si="20"/>
        <v>0</v>
      </c>
      <c r="M262" s="180">
        <f t="shared" si="20"/>
        <v>0</v>
      </c>
      <c r="N262" s="181">
        <f t="shared" si="20"/>
        <v>918</v>
      </c>
      <c r="O262" s="182">
        <f t="shared" si="20"/>
        <v>918</v>
      </c>
    </row>
    <row r="263" spans="1:15" ht="13.5" thickBot="1">
      <c r="A263" s="72" t="s">
        <v>549</v>
      </c>
      <c r="B263" s="62" t="s">
        <v>550</v>
      </c>
      <c r="C263" s="55" t="s">
        <v>301</v>
      </c>
      <c r="D263" s="56"/>
      <c r="E263" s="57"/>
      <c r="F263" s="57"/>
      <c r="G263" s="42"/>
      <c r="H263" s="38">
        <f>5918-5000</f>
        <v>918</v>
      </c>
      <c r="I263" s="94">
        <f>SUM(G263:H263)</f>
        <v>918</v>
      </c>
      <c r="J263" s="37"/>
      <c r="K263" s="38"/>
      <c r="L263" s="39">
        <f>J263+K263</f>
        <v>0</v>
      </c>
      <c r="M263" s="42">
        <f>G262-J262</f>
        <v>0</v>
      </c>
      <c r="N263" s="38">
        <f>H262-K262</f>
        <v>918</v>
      </c>
      <c r="O263" s="39">
        <f>SUM(M263:N263)</f>
        <v>918</v>
      </c>
    </row>
    <row r="264" spans="1:15" ht="13.5" thickBot="1">
      <c r="A264" s="171" t="s">
        <v>551</v>
      </c>
      <c r="B264" s="172"/>
      <c r="C264" s="172"/>
      <c r="D264" s="178"/>
      <c r="E264" s="179"/>
      <c r="F264" s="179"/>
      <c r="G264" s="180">
        <f aca="true" t="shared" si="21" ref="G264:O264">G265</f>
        <v>0</v>
      </c>
      <c r="H264" s="181">
        <f t="shared" si="21"/>
        <v>8700</v>
      </c>
      <c r="I264" s="182">
        <f t="shared" si="21"/>
        <v>8700</v>
      </c>
      <c r="J264" s="183">
        <f t="shared" si="21"/>
        <v>0</v>
      </c>
      <c r="K264" s="181">
        <f t="shared" si="21"/>
        <v>8700</v>
      </c>
      <c r="L264" s="182">
        <f t="shared" si="21"/>
        <v>8700</v>
      </c>
      <c r="M264" s="180">
        <f t="shared" si="21"/>
        <v>0</v>
      </c>
      <c r="N264" s="181">
        <f t="shared" si="21"/>
        <v>0</v>
      </c>
      <c r="O264" s="182">
        <f t="shared" si="21"/>
        <v>0</v>
      </c>
    </row>
    <row r="265" spans="1:15" ht="23.25" thickBot="1">
      <c r="A265" s="72" t="s">
        <v>552</v>
      </c>
      <c r="B265" s="62" t="s">
        <v>550</v>
      </c>
      <c r="C265" s="55" t="s">
        <v>680</v>
      </c>
      <c r="D265" s="56"/>
      <c r="E265" s="57"/>
      <c r="F265" s="74" t="s">
        <v>553</v>
      </c>
      <c r="G265" s="42"/>
      <c r="H265" s="38">
        <f>72100-50000-13400</f>
        <v>8700</v>
      </c>
      <c r="I265" s="94">
        <f>SUM(G265:H265)</f>
        <v>8700</v>
      </c>
      <c r="J265" s="37"/>
      <c r="K265" s="38">
        <v>8700</v>
      </c>
      <c r="L265" s="39">
        <f>J265+K265</f>
        <v>8700</v>
      </c>
      <c r="M265" s="42">
        <f>G264-J264</f>
        <v>0</v>
      </c>
      <c r="N265" s="201">
        <f>H264-K264</f>
        <v>0</v>
      </c>
      <c r="O265" s="39">
        <f>SUM(M265:N265)</f>
        <v>0</v>
      </c>
    </row>
    <row r="266" spans="1:15" ht="13.5" thickBot="1">
      <c r="A266" s="171" t="s">
        <v>554</v>
      </c>
      <c r="B266" s="172"/>
      <c r="C266" s="172"/>
      <c r="D266" s="178"/>
      <c r="E266" s="179"/>
      <c r="F266" s="179"/>
      <c r="G266" s="180">
        <f aca="true" t="shared" si="22" ref="G266:O266">G267</f>
        <v>0</v>
      </c>
      <c r="H266" s="181">
        <f t="shared" si="22"/>
        <v>1230</v>
      </c>
      <c r="I266" s="182">
        <f t="shared" si="22"/>
        <v>1230</v>
      </c>
      <c r="J266" s="183">
        <f t="shared" si="22"/>
        <v>0</v>
      </c>
      <c r="K266" s="181">
        <f t="shared" si="22"/>
        <v>229</v>
      </c>
      <c r="L266" s="182">
        <f t="shared" si="22"/>
        <v>229</v>
      </c>
      <c r="M266" s="180">
        <f t="shared" si="22"/>
        <v>0</v>
      </c>
      <c r="N266" s="181">
        <f t="shared" si="22"/>
        <v>1001</v>
      </c>
      <c r="O266" s="182">
        <f t="shared" si="22"/>
        <v>1001</v>
      </c>
    </row>
    <row r="267" spans="1:15" ht="23.25" thickBot="1">
      <c r="A267" s="72" t="s">
        <v>555</v>
      </c>
      <c r="B267" s="55" t="s">
        <v>550</v>
      </c>
      <c r="C267" s="55" t="s">
        <v>223</v>
      </c>
      <c r="D267" s="56"/>
      <c r="E267" s="57"/>
      <c r="F267" s="74" t="s">
        <v>556</v>
      </c>
      <c r="G267" s="42"/>
      <c r="H267" s="38">
        <v>1230</v>
      </c>
      <c r="I267" s="94">
        <f>SUM(G267:H267)</f>
        <v>1230</v>
      </c>
      <c r="J267" s="37"/>
      <c r="K267" s="38">
        <v>229</v>
      </c>
      <c r="L267" s="39">
        <f>J267+K267</f>
        <v>229</v>
      </c>
      <c r="M267" s="42">
        <f>G266-J266</f>
        <v>0</v>
      </c>
      <c r="N267" s="38">
        <f>H266-K266</f>
        <v>1001</v>
      </c>
      <c r="O267" s="39">
        <f>SUM(M267:N267)</f>
        <v>1001</v>
      </c>
    </row>
    <row r="268" spans="1:15" ht="13.5" thickBot="1">
      <c r="A268" s="171" t="s">
        <v>557</v>
      </c>
      <c r="B268" s="172"/>
      <c r="C268" s="172"/>
      <c r="D268" s="178"/>
      <c r="E268" s="179"/>
      <c r="F268" s="179"/>
      <c r="G268" s="180">
        <f aca="true" t="shared" si="23" ref="G268:O268">G269</f>
        <v>0</v>
      </c>
      <c r="H268" s="181">
        <f t="shared" si="23"/>
        <v>1743</v>
      </c>
      <c r="I268" s="182">
        <f t="shared" si="23"/>
        <v>1743</v>
      </c>
      <c r="J268" s="183">
        <f t="shared" si="23"/>
        <v>0</v>
      </c>
      <c r="K268" s="181">
        <f t="shared" si="23"/>
        <v>333</v>
      </c>
      <c r="L268" s="182">
        <f t="shared" si="23"/>
        <v>333</v>
      </c>
      <c r="M268" s="180">
        <f t="shared" si="23"/>
        <v>0</v>
      </c>
      <c r="N268" s="181">
        <f t="shared" si="23"/>
        <v>1410</v>
      </c>
      <c r="O268" s="182">
        <f t="shared" si="23"/>
        <v>1410</v>
      </c>
    </row>
    <row r="269" spans="1:15" ht="23.25" thickBot="1">
      <c r="A269" s="72" t="s">
        <v>570</v>
      </c>
      <c r="B269" s="55" t="s">
        <v>550</v>
      </c>
      <c r="C269" s="55" t="s">
        <v>302</v>
      </c>
      <c r="D269" s="56"/>
      <c r="E269" s="57"/>
      <c r="F269" s="74" t="s">
        <v>789</v>
      </c>
      <c r="G269" s="42"/>
      <c r="H269" s="151">
        <f>2743-1000</f>
        <v>1743</v>
      </c>
      <c r="I269" s="94">
        <f>SUM(G269:H269)</f>
        <v>1743</v>
      </c>
      <c r="J269" s="37"/>
      <c r="K269" s="38">
        <v>333</v>
      </c>
      <c r="L269" s="39">
        <f>J269+K269</f>
        <v>333</v>
      </c>
      <c r="M269" s="42">
        <f>G268-J268</f>
        <v>0</v>
      </c>
      <c r="N269" s="151">
        <f>H268-K268</f>
        <v>1410</v>
      </c>
      <c r="O269" s="39">
        <f>SUM(M269:N269)</f>
        <v>1410</v>
      </c>
    </row>
    <row r="270" spans="1:15" ht="13.5" thickBot="1">
      <c r="A270" s="171" t="s">
        <v>336</v>
      </c>
      <c r="B270" s="172"/>
      <c r="C270" s="172"/>
      <c r="D270" s="178"/>
      <c r="E270" s="179"/>
      <c r="F270" s="179"/>
      <c r="G270" s="180">
        <f aca="true" t="shared" si="24" ref="G270:O270">G271</f>
        <v>0</v>
      </c>
      <c r="H270" s="181">
        <f t="shared" si="24"/>
        <v>38</v>
      </c>
      <c r="I270" s="182">
        <f t="shared" si="24"/>
        <v>38</v>
      </c>
      <c r="J270" s="183">
        <f t="shared" si="24"/>
        <v>0</v>
      </c>
      <c r="K270" s="181">
        <f t="shared" si="24"/>
        <v>37.9</v>
      </c>
      <c r="L270" s="182">
        <f t="shared" si="24"/>
        <v>37.9</v>
      </c>
      <c r="M270" s="180">
        <f t="shared" si="24"/>
        <v>0</v>
      </c>
      <c r="N270" s="181">
        <f t="shared" si="24"/>
        <v>0.10000000000000142</v>
      </c>
      <c r="O270" s="182">
        <f t="shared" si="24"/>
        <v>0.10000000000000142</v>
      </c>
    </row>
    <row r="271" spans="1:15" ht="24.75" thickBot="1">
      <c r="A271" s="72" t="s">
        <v>338</v>
      </c>
      <c r="B271" s="55" t="s">
        <v>550</v>
      </c>
      <c r="C271" s="55" t="s">
        <v>337</v>
      </c>
      <c r="D271" s="56"/>
      <c r="E271" s="57"/>
      <c r="F271" s="74" t="s">
        <v>254</v>
      </c>
      <c r="G271" s="42"/>
      <c r="H271" s="151">
        <v>38</v>
      </c>
      <c r="I271" s="94">
        <f>SUM(G271:H271)</f>
        <v>38</v>
      </c>
      <c r="J271" s="37"/>
      <c r="K271" s="151">
        <v>37.9</v>
      </c>
      <c r="L271" s="39">
        <f>J271+K271</f>
        <v>37.9</v>
      </c>
      <c r="M271" s="42">
        <f>G270-J270</f>
        <v>0</v>
      </c>
      <c r="N271" s="38">
        <f>H270-K270</f>
        <v>0.10000000000000142</v>
      </c>
      <c r="O271" s="39">
        <f>SUM(M271:N271)</f>
        <v>0.10000000000000142</v>
      </c>
    </row>
    <row r="272" spans="1:15" ht="13.5" thickBot="1">
      <c r="A272" s="171" t="s">
        <v>571</v>
      </c>
      <c r="B272" s="172"/>
      <c r="C272" s="172"/>
      <c r="D272" s="178"/>
      <c r="E272" s="179"/>
      <c r="F272" s="179"/>
      <c r="G272" s="180">
        <f>G273</f>
        <v>0</v>
      </c>
      <c r="H272" s="181">
        <f>H273</f>
        <v>3000</v>
      </c>
      <c r="I272" s="182">
        <f>I273</f>
        <v>3000</v>
      </c>
      <c r="J272" s="183">
        <f>SUM(J273:J274)</f>
        <v>0</v>
      </c>
      <c r="K272" s="181">
        <f>SUM(K273:K274)</f>
        <v>2913.6</v>
      </c>
      <c r="L272" s="182">
        <f>SUM(L273:L274)</f>
        <v>2913.6</v>
      </c>
      <c r="M272" s="180">
        <f>M273</f>
        <v>0</v>
      </c>
      <c r="N272" s="181">
        <f>N273</f>
        <v>86.40000000000009</v>
      </c>
      <c r="O272" s="182">
        <f>O273</f>
        <v>86.40000000000009</v>
      </c>
    </row>
    <row r="273" spans="1:15" ht="22.5">
      <c r="A273" s="239" t="s">
        <v>572</v>
      </c>
      <c r="B273" s="281" t="s">
        <v>550</v>
      </c>
      <c r="C273" s="281" t="s">
        <v>573</v>
      </c>
      <c r="D273" s="283"/>
      <c r="E273" s="215"/>
      <c r="F273" s="90" t="s">
        <v>790</v>
      </c>
      <c r="G273" s="250"/>
      <c r="H273" s="254">
        <v>3000</v>
      </c>
      <c r="I273" s="267">
        <f>SUM(G273:H273)</f>
        <v>3000</v>
      </c>
      <c r="J273" s="12"/>
      <c r="K273" s="13">
        <v>2553.6</v>
      </c>
      <c r="L273" s="21">
        <f>J273+K273</f>
        <v>2553.6</v>
      </c>
      <c r="M273" s="250">
        <f>G272-J272</f>
        <v>0</v>
      </c>
      <c r="N273" s="254">
        <f>H272-K272</f>
        <v>86.40000000000009</v>
      </c>
      <c r="O273" s="222">
        <f>SUM(M273:N273)</f>
        <v>86.40000000000009</v>
      </c>
    </row>
    <row r="274" spans="1:15" ht="23.25" thickBot="1">
      <c r="A274" s="240"/>
      <c r="B274" s="282"/>
      <c r="C274" s="282"/>
      <c r="D274" s="284"/>
      <c r="E274" s="217"/>
      <c r="F274" s="74" t="s">
        <v>791</v>
      </c>
      <c r="G274" s="253"/>
      <c r="H274" s="257"/>
      <c r="I274" s="268"/>
      <c r="J274" s="47"/>
      <c r="K274" s="63">
        <v>360</v>
      </c>
      <c r="L274" s="46">
        <f>J274+K274</f>
        <v>360</v>
      </c>
      <c r="M274" s="253"/>
      <c r="N274" s="257"/>
      <c r="O274" s="225"/>
    </row>
    <row r="275" spans="1:15" ht="13.5" thickBot="1">
      <c r="A275" s="171" t="s">
        <v>574</v>
      </c>
      <c r="B275" s="172"/>
      <c r="C275" s="172"/>
      <c r="D275" s="178"/>
      <c r="E275" s="179"/>
      <c r="F275" s="179"/>
      <c r="G275" s="180">
        <f aca="true" t="shared" si="25" ref="G275:O279">G276</f>
        <v>0</v>
      </c>
      <c r="H275" s="181">
        <f t="shared" si="25"/>
        <v>3000</v>
      </c>
      <c r="I275" s="182">
        <f t="shared" si="25"/>
        <v>3000</v>
      </c>
      <c r="J275" s="183">
        <f t="shared" si="25"/>
        <v>0</v>
      </c>
      <c r="K275" s="181">
        <f t="shared" si="25"/>
        <v>1884</v>
      </c>
      <c r="L275" s="182">
        <f t="shared" si="25"/>
        <v>1884</v>
      </c>
      <c r="M275" s="180">
        <f t="shared" si="25"/>
        <v>0</v>
      </c>
      <c r="N275" s="181">
        <f t="shared" si="25"/>
        <v>1116</v>
      </c>
      <c r="O275" s="182">
        <f t="shared" si="25"/>
        <v>1116</v>
      </c>
    </row>
    <row r="276" spans="1:15" ht="34.5" thickBot="1">
      <c r="A276" s="75" t="s">
        <v>575</v>
      </c>
      <c r="B276" s="76" t="s">
        <v>550</v>
      </c>
      <c r="C276" s="76" t="s">
        <v>573</v>
      </c>
      <c r="D276" s="77"/>
      <c r="E276" s="78"/>
      <c r="F276" s="99" t="s">
        <v>792</v>
      </c>
      <c r="G276" s="42"/>
      <c r="H276" s="38">
        <v>3000</v>
      </c>
      <c r="I276" s="94">
        <f>SUM(G276:H276)</f>
        <v>3000</v>
      </c>
      <c r="J276" s="37"/>
      <c r="K276" s="38">
        <v>1884</v>
      </c>
      <c r="L276" s="39">
        <f>J276+K276</f>
        <v>1884</v>
      </c>
      <c r="M276" s="42">
        <f>G275-J275</f>
        <v>0</v>
      </c>
      <c r="N276" s="38">
        <f>H275-K275</f>
        <v>1116</v>
      </c>
      <c r="O276" s="39">
        <f>SUM(M276:N276)</f>
        <v>1116</v>
      </c>
    </row>
    <row r="277" spans="1:15" ht="13.5" thickBot="1">
      <c r="A277" s="171" t="s">
        <v>805</v>
      </c>
      <c r="B277" s="172"/>
      <c r="C277" s="172"/>
      <c r="D277" s="178"/>
      <c r="E277" s="179"/>
      <c r="F277" s="179"/>
      <c r="G277" s="180">
        <f t="shared" si="25"/>
        <v>0</v>
      </c>
      <c r="H277" s="181">
        <f t="shared" si="25"/>
        <v>20541</v>
      </c>
      <c r="I277" s="182">
        <f t="shared" si="25"/>
        <v>20541</v>
      </c>
      <c r="J277" s="183">
        <f t="shared" si="25"/>
        <v>0</v>
      </c>
      <c r="K277" s="181">
        <f t="shared" si="25"/>
        <v>20540.28</v>
      </c>
      <c r="L277" s="182">
        <f t="shared" si="25"/>
        <v>20540.28</v>
      </c>
      <c r="M277" s="180">
        <f t="shared" si="25"/>
        <v>0</v>
      </c>
      <c r="N277" s="181">
        <f t="shared" si="25"/>
        <v>0.7200000000011642</v>
      </c>
      <c r="O277" s="182">
        <f t="shared" si="25"/>
        <v>0.7200000000011642</v>
      </c>
    </row>
    <row r="278" spans="1:15" ht="23.25" thickBot="1">
      <c r="A278" s="75" t="s">
        <v>806</v>
      </c>
      <c r="B278" s="76" t="s">
        <v>550</v>
      </c>
      <c r="C278" s="76" t="s">
        <v>807</v>
      </c>
      <c r="D278" s="77"/>
      <c r="E278" s="78"/>
      <c r="F278" s="99" t="s">
        <v>810</v>
      </c>
      <c r="G278" s="42"/>
      <c r="H278" s="38">
        <v>20541</v>
      </c>
      <c r="I278" s="94">
        <f>SUM(G278:H278)</f>
        <v>20541</v>
      </c>
      <c r="J278" s="37"/>
      <c r="K278" s="192">
        <v>20540.28</v>
      </c>
      <c r="L278" s="39">
        <f>J278+K278</f>
        <v>20540.28</v>
      </c>
      <c r="M278" s="42">
        <f>G277-J277</f>
        <v>0</v>
      </c>
      <c r="N278" s="38">
        <f>H277-K277</f>
        <v>0.7200000000011642</v>
      </c>
      <c r="O278" s="39">
        <f>SUM(M278:N278)</f>
        <v>0.7200000000011642</v>
      </c>
    </row>
    <row r="279" spans="1:15" ht="13.5" thickBot="1">
      <c r="A279" s="171" t="s">
        <v>808</v>
      </c>
      <c r="B279" s="172"/>
      <c r="C279" s="172"/>
      <c r="D279" s="178"/>
      <c r="E279" s="179"/>
      <c r="F279" s="179"/>
      <c r="G279" s="180">
        <f t="shared" si="25"/>
        <v>0</v>
      </c>
      <c r="H279" s="181">
        <f t="shared" si="25"/>
        <v>1376</v>
      </c>
      <c r="I279" s="182">
        <f t="shared" si="25"/>
        <v>1376</v>
      </c>
      <c r="J279" s="183">
        <f t="shared" si="25"/>
        <v>0</v>
      </c>
      <c r="K279" s="181">
        <f t="shared" si="25"/>
        <v>1375.92</v>
      </c>
      <c r="L279" s="182">
        <f t="shared" si="25"/>
        <v>1375.92</v>
      </c>
      <c r="M279" s="180">
        <f t="shared" si="25"/>
        <v>0</v>
      </c>
      <c r="N279" s="181">
        <f t="shared" si="25"/>
        <v>0.07999999999992724</v>
      </c>
      <c r="O279" s="182">
        <f t="shared" si="25"/>
        <v>0.07999999999992724</v>
      </c>
    </row>
    <row r="280" spans="1:15" ht="23.25" thickBot="1">
      <c r="A280" s="75" t="s">
        <v>809</v>
      </c>
      <c r="B280" s="76" t="s">
        <v>550</v>
      </c>
      <c r="C280" s="76" t="s">
        <v>812</v>
      </c>
      <c r="D280" s="77"/>
      <c r="E280" s="78"/>
      <c r="F280" s="99" t="s">
        <v>811</v>
      </c>
      <c r="G280" s="42"/>
      <c r="H280" s="38">
        <v>1376</v>
      </c>
      <c r="I280" s="94">
        <f>SUM(G280:H280)</f>
        <v>1376</v>
      </c>
      <c r="J280" s="37"/>
      <c r="K280" s="192">
        <v>1375.92</v>
      </c>
      <c r="L280" s="39">
        <f>J280+K280</f>
        <v>1375.92</v>
      </c>
      <c r="M280" s="42">
        <f>G279-J279</f>
        <v>0</v>
      </c>
      <c r="N280" s="38">
        <f>H279-K279</f>
        <v>0.07999999999992724</v>
      </c>
      <c r="O280" s="39">
        <f>SUM(M280:N280)</f>
        <v>0.07999999999992724</v>
      </c>
    </row>
    <row r="281" spans="1:15" ht="13.5" thickBot="1">
      <c r="A281" s="171" t="s">
        <v>576</v>
      </c>
      <c r="B281" s="172"/>
      <c r="C281" s="172"/>
      <c r="D281" s="178"/>
      <c r="E281" s="179"/>
      <c r="F281" s="179"/>
      <c r="G281" s="180">
        <f aca="true" t="shared" si="26" ref="G281:O281">G282</f>
        <v>0</v>
      </c>
      <c r="H281" s="181">
        <f t="shared" si="26"/>
        <v>3000</v>
      </c>
      <c r="I281" s="182">
        <f t="shared" si="26"/>
        <v>3000</v>
      </c>
      <c r="J281" s="183">
        <f t="shared" si="26"/>
        <v>0</v>
      </c>
      <c r="K281" s="181">
        <f t="shared" si="26"/>
        <v>1710</v>
      </c>
      <c r="L281" s="182">
        <f t="shared" si="26"/>
        <v>1710</v>
      </c>
      <c r="M281" s="180">
        <f t="shared" si="26"/>
        <v>0</v>
      </c>
      <c r="N281" s="181">
        <f t="shared" si="26"/>
        <v>1290</v>
      </c>
      <c r="O281" s="182">
        <f t="shared" si="26"/>
        <v>1290</v>
      </c>
    </row>
    <row r="282" spans="1:15" ht="52.5" customHeight="1" thickBot="1">
      <c r="A282" s="75" t="s">
        <v>577</v>
      </c>
      <c r="B282" s="76" t="s">
        <v>550</v>
      </c>
      <c r="C282" s="76" t="s">
        <v>573</v>
      </c>
      <c r="D282" s="77"/>
      <c r="E282" s="78"/>
      <c r="F282" s="95" t="s">
        <v>793</v>
      </c>
      <c r="G282" s="42"/>
      <c r="H282" s="38">
        <f>5000-2000</f>
        <v>3000</v>
      </c>
      <c r="I282" s="94">
        <f>SUM(G282:H282)</f>
        <v>3000</v>
      </c>
      <c r="J282" s="37"/>
      <c r="K282" s="38">
        <v>1710</v>
      </c>
      <c r="L282" s="39">
        <f>J282+K282</f>
        <v>1710</v>
      </c>
      <c r="M282" s="42">
        <f>G281-J281</f>
        <v>0</v>
      </c>
      <c r="N282" s="38">
        <f>H281-K281</f>
        <v>1290</v>
      </c>
      <c r="O282" s="39">
        <f>SUM(M282:N282)</f>
        <v>1290</v>
      </c>
    </row>
    <row r="283" spans="1:15" ht="13.5" thickBot="1">
      <c r="A283" s="171" t="s">
        <v>813</v>
      </c>
      <c r="B283" s="172"/>
      <c r="C283" s="172"/>
      <c r="D283" s="178"/>
      <c r="E283" s="179"/>
      <c r="F283" s="179"/>
      <c r="G283" s="180">
        <f aca="true" t="shared" si="27" ref="G283:O283">G284</f>
        <v>0</v>
      </c>
      <c r="H283" s="181">
        <f t="shared" si="27"/>
        <v>7595</v>
      </c>
      <c r="I283" s="182">
        <f t="shared" si="27"/>
        <v>7595</v>
      </c>
      <c r="J283" s="183">
        <f t="shared" si="27"/>
        <v>0</v>
      </c>
      <c r="K283" s="181">
        <f t="shared" si="27"/>
        <v>7594.5</v>
      </c>
      <c r="L283" s="182">
        <f t="shared" si="27"/>
        <v>7594.5</v>
      </c>
      <c r="M283" s="180">
        <f t="shared" si="27"/>
        <v>0</v>
      </c>
      <c r="N283" s="181">
        <f t="shared" si="27"/>
        <v>0.5</v>
      </c>
      <c r="O283" s="182">
        <f t="shared" si="27"/>
        <v>0.5</v>
      </c>
    </row>
    <row r="284" spans="1:15" ht="24.75" thickBot="1">
      <c r="A284" s="75" t="s">
        <v>814</v>
      </c>
      <c r="B284" s="76" t="s">
        <v>550</v>
      </c>
      <c r="C284" s="76" t="s">
        <v>815</v>
      </c>
      <c r="D284" s="77"/>
      <c r="E284" s="78"/>
      <c r="F284" s="99" t="s">
        <v>816</v>
      </c>
      <c r="G284" s="42"/>
      <c r="H284" s="38">
        <v>7595</v>
      </c>
      <c r="I284" s="94">
        <f>SUM(G284:H284)</f>
        <v>7595</v>
      </c>
      <c r="J284" s="37"/>
      <c r="K284" s="192">
        <v>7594.5</v>
      </c>
      <c r="L284" s="39">
        <f>J284+K284</f>
        <v>7594.5</v>
      </c>
      <c r="M284" s="42">
        <f>G283-J283</f>
        <v>0</v>
      </c>
      <c r="N284" s="38">
        <f>H283-K283</f>
        <v>0.5</v>
      </c>
      <c r="O284" s="39">
        <f>SUM(M284:N284)</f>
        <v>0.5</v>
      </c>
    </row>
    <row r="285" spans="1:15" ht="13.5" thickBot="1">
      <c r="A285" s="171" t="s">
        <v>579</v>
      </c>
      <c r="B285" s="172"/>
      <c r="C285" s="172"/>
      <c r="D285" s="178"/>
      <c r="E285" s="179"/>
      <c r="F285" s="179"/>
      <c r="G285" s="180">
        <f aca="true" t="shared" si="28" ref="G285:O285">G286</f>
        <v>0</v>
      </c>
      <c r="H285" s="181">
        <f t="shared" si="28"/>
        <v>560</v>
      </c>
      <c r="I285" s="182">
        <f t="shared" si="28"/>
        <v>560</v>
      </c>
      <c r="J285" s="183">
        <f t="shared" si="28"/>
        <v>0</v>
      </c>
      <c r="K285" s="181">
        <f t="shared" si="28"/>
        <v>0</v>
      </c>
      <c r="L285" s="182">
        <f t="shared" si="28"/>
        <v>0</v>
      </c>
      <c r="M285" s="180">
        <f t="shared" si="28"/>
        <v>0</v>
      </c>
      <c r="N285" s="181">
        <f t="shared" si="28"/>
        <v>560</v>
      </c>
      <c r="O285" s="182">
        <f t="shared" si="28"/>
        <v>560</v>
      </c>
    </row>
    <row r="286" spans="1:15" ht="66" customHeight="1" thickBot="1">
      <c r="A286" s="75" t="s">
        <v>580</v>
      </c>
      <c r="B286" s="76" t="s">
        <v>550</v>
      </c>
      <c r="C286" s="76" t="s">
        <v>681</v>
      </c>
      <c r="D286" s="77"/>
      <c r="E286" s="78"/>
      <c r="F286" s="78"/>
      <c r="G286" s="42"/>
      <c r="H286" s="151">
        <f>22000-12440-9000</f>
        <v>560</v>
      </c>
      <c r="I286" s="94">
        <f>SUM(G286:H286)</f>
        <v>560</v>
      </c>
      <c r="J286" s="37"/>
      <c r="K286" s="38"/>
      <c r="L286" s="39">
        <f>J286+K286</f>
        <v>0</v>
      </c>
      <c r="M286" s="42">
        <f>G285-J285</f>
        <v>0</v>
      </c>
      <c r="N286" s="201">
        <f>H285-K285</f>
        <v>560</v>
      </c>
      <c r="O286" s="39">
        <f>SUM(M286:N286)</f>
        <v>560</v>
      </c>
    </row>
    <row r="287" spans="1:15" ht="13.5" thickBot="1">
      <c r="A287" s="171" t="s">
        <v>581</v>
      </c>
      <c r="B287" s="172"/>
      <c r="C287" s="172"/>
      <c r="D287" s="178"/>
      <c r="E287" s="179"/>
      <c r="F287" s="179"/>
      <c r="G287" s="180">
        <f aca="true" t="shared" si="29" ref="G287:O289">G288</f>
        <v>0</v>
      </c>
      <c r="H287" s="181">
        <f t="shared" si="29"/>
        <v>500</v>
      </c>
      <c r="I287" s="182">
        <f t="shared" si="29"/>
        <v>500</v>
      </c>
      <c r="J287" s="183">
        <f t="shared" si="29"/>
        <v>0</v>
      </c>
      <c r="K287" s="181">
        <f t="shared" si="29"/>
        <v>436.2</v>
      </c>
      <c r="L287" s="182">
        <f t="shared" si="29"/>
        <v>436.2</v>
      </c>
      <c r="M287" s="180">
        <f t="shared" si="29"/>
        <v>0</v>
      </c>
      <c r="N287" s="181">
        <f t="shared" si="29"/>
        <v>63.80000000000001</v>
      </c>
      <c r="O287" s="182">
        <f t="shared" si="29"/>
        <v>63.80000000000001</v>
      </c>
    </row>
    <row r="288" spans="1:15" ht="63.75" customHeight="1" thickBot="1">
      <c r="A288" s="75" t="s">
        <v>582</v>
      </c>
      <c r="B288" s="76" t="s">
        <v>550</v>
      </c>
      <c r="C288" s="76" t="s">
        <v>682</v>
      </c>
      <c r="D288" s="77"/>
      <c r="E288" s="78"/>
      <c r="F288" s="97" t="s">
        <v>794</v>
      </c>
      <c r="G288" s="42"/>
      <c r="H288" s="38">
        <f>12000-2101-9399</f>
        <v>500</v>
      </c>
      <c r="I288" s="94">
        <f>SUM(G288:H288)</f>
        <v>500</v>
      </c>
      <c r="J288" s="37"/>
      <c r="K288" s="38">
        <v>436.2</v>
      </c>
      <c r="L288" s="39">
        <f>J288+K288</f>
        <v>436.2</v>
      </c>
      <c r="M288" s="42">
        <f>G287-J287</f>
        <v>0</v>
      </c>
      <c r="N288" s="201">
        <f>H287-K287</f>
        <v>63.80000000000001</v>
      </c>
      <c r="O288" s="39">
        <f>SUM(M288:N288)</f>
        <v>63.80000000000001</v>
      </c>
    </row>
    <row r="289" spans="1:15" ht="13.5" thickBot="1">
      <c r="A289" s="171" t="s">
        <v>122</v>
      </c>
      <c r="B289" s="172"/>
      <c r="C289" s="172"/>
      <c r="D289" s="178"/>
      <c r="E289" s="179"/>
      <c r="F289" s="179"/>
      <c r="G289" s="180">
        <f t="shared" si="29"/>
        <v>0</v>
      </c>
      <c r="H289" s="181">
        <f t="shared" si="29"/>
        <v>2101</v>
      </c>
      <c r="I289" s="182">
        <f t="shared" si="29"/>
        <v>2101</v>
      </c>
      <c r="J289" s="183">
        <f t="shared" si="29"/>
        <v>0</v>
      </c>
      <c r="K289" s="181">
        <f t="shared" si="29"/>
        <v>2100.02</v>
      </c>
      <c r="L289" s="182">
        <f t="shared" si="29"/>
        <v>2100.02</v>
      </c>
      <c r="M289" s="180">
        <f t="shared" si="29"/>
        <v>0</v>
      </c>
      <c r="N289" s="181">
        <f t="shared" si="29"/>
        <v>0.9800000000000182</v>
      </c>
      <c r="O289" s="182">
        <f t="shared" si="29"/>
        <v>0.9800000000000182</v>
      </c>
    </row>
    <row r="290" spans="1:15" ht="28.5" customHeight="1" thickBot="1">
      <c r="A290" s="75" t="s">
        <v>124</v>
      </c>
      <c r="B290" s="76" t="s">
        <v>550</v>
      </c>
      <c r="C290" s="76" t="s">
        <v>125</v>
      </c>
      <c r="D290" s="77"/>
      <c r="E290" s="78"/>
      <c r="F290" s="99" t="s">
        <v>126</v>
      </c>
      <c r="G290" s="169"/>
      <c r="H290" s="151">
        <v>2101</v>
      </c>
      <c r="I290" s="94">
        <f>SUM(G290:H290)</f>
        <v>2101</v>
      </c>
      <c r="J290" s="37"/>
      <c r="K290" s="151">
        <v>2100.02</v>
      </c>
      <c r="L290" s="39">
        <f>J290+K290</f>
        <v>2100.02</v>
      </c>
      <c r="M290" s="42">
        <f>G289-J289</f>
        <v>0</v>
      </c>
      <c r="N290" s="38">
        <f>H289-K289</f>
        <v>0.9800000000000182</v>
      </c>
      <c r="O290" s="39">
        <f>SUM(M290:N290)</f>
        <v>0.9800000000000182</v>
      </c>
    </row>
    <row r="291" spans="1:15" ht="13.5" thickBot="1">
      <c r="A291" s="171" t="s">
        <v>584</v>
      </c>
      <c r="B291" s="172"/>
      <c r="C291" s="172"/>
      <c r="D291" s="178"/>
      <c r="E291" s="179"/>
      <c r="F291" s="184"/>
      <c r="G291" s="180">
        <f>G292</f>
        <v>34950</v>
      </c>
      <c r="H291" s="181">
        <f>H292</f>
        <v>25301</v>
      </c>
      <c r="I291" s="182">
        <f>I292</f>
        <v>60251</v>
      </c>
      <c r="J291" s="183">
        <f>SUM(J292:J308)</f>
        <v>34949.4</v>
      </c>
      <c r="K291" s="181">
        <f>SUM(K292:K308)</f>
        <v>16978.1</v>
      </c>
      <c r="L291" s="182">
        <f>SUM(L292:L308)</f>
        <v>51927.50000000001</v>
      </c>
      <c r="M291" s="180">
        <f>M292</f>
        <v>0.5999999999985448</v>
      </c>
      <c r="N291" s="181">
        <f>N292</f>
        <v>8322.900000000001</v>
      </c>
      <c r="O291" s="182">
        <f>O292</f>
        <v>8323.5</v>
      </c>
    </row>
    <row r="292" spans="1:15" ht="22.5">
      <c r="A292" s="239" t="s">
        <v>585</v>
      </c>
      <c r="B292" s="281" t="s">
        <v>550</v>
      </c>
      <c r="C292" s="281" t="s">
        <v>626</v>
      </c>
      <c r="D292" s="283"/>
      <c r="E292" s="211"/>
      <c r="F292" s="101" t="s">
        <v>586</v>
      </c>
      <c r="G292" s="250">
        <v>34950</v>
      </c>
      <c r="H292" s="254">
        <f>28301-3000</f>
        <v>25301</v>
      </c>
      <c r="I292" s="267">
        <f>SUM(G292:H292)</f>
        <v>60251</v>
      </c>
      <c r="J292" s="12">
        <v>5697.04</v>
      </c>
      <c r="K292" s="13"/>
      <c r="L292" s="21">
        <f aca="true" t="shared" si="30" ref="L292:L308">J292+K292</f>
        <v>5697.04</v>
      </c>
      <c r="M292" s="236">
        <f>G291-J291</f>
        <v>0.5999999999985448</v>
      </c>
      <c r="N292" s="229">
        <f>H291-K291</f>
        <v>8322.900000000001</v>
      </c>
      <c r="O292" s="222">
        <f>SUM(M292:N292)</f>
        <v>8323.5</v>
      </c>
    </row>
    <row r="293" spans="1:15" ht="22.5">
      <c r="A293" s="209"/>
      <c r="B293" s="260"/>
      <c r="C293" s="260"/>
      <c r="D293" s="241"/>
      <c r="E293" s="212"/>
      <c r="F293" s="142" t="s">
        <v>587</v>
      </c>
      <c r="G293" s="251"/>
      <c r="H293" s="255"/>
      <c r="I293" s="285"/>
      <c r="J293" s="15">
        <v>1883.1</v>
      </c>
      <c r="K293" s="14"/>
      <c r="L293" s="31">
        <f t="shared" si="30"/>
        <v>1883.1</v>
      </c>
      <c r="M293" s="289"/>
      <c r="N293" s="231"/>
      <c r="O293" s="223"/>
    </row>
    <row r="294" spans="1:15" ht="22.5">
      <c r="A294" s="209"/>
      <c r="B294" s="260"/>
      <c r="C294" s="260"/>
      <c r="D294" s="241"/>
      <c r="E294" s="212"/>
      <c r="F294" s="142" t="s">
        <v>588</v>
      </c>
      <c r="G294" s="251"/>
      <c r="H294" s="255"/>
      <c r="I294" s="285"/>
      <c r="J294" s="15">
        <v>7500</v>
      </c>
      <c r="K294" s="14"/>
      <c r="L294" s="31">
        <f t="shared" si="30"/>
        <v>7500</v>
      </c>
      <c r="M294" s="289"/>
      <c r="N294" s="231"/>
      <c r="O294" s="223"/>
    </row>
    <row r="295" spans="1:15" ht="33.75">
      <c r="A295" s="209"/>
      <c r="B295" s="260"/>
      <c r="C295" s="260"/>
      <c r="D295" s="241"/>
      <c r="E295" s="212"/>
      <c r="F295" s="142" t="s">
        <v>589</v>
      </c>
      <c r="G295" s="251"/>
      <c r="H295" s="255"/>
      <c r="I295" s="285"/>
      <c r="J295" s="15">
        <v>2870.64</v>
      </c>
      <c r="K295" s="14"/>
      <c r="L295" s="31">
        <f t="shared" si="30"/>
        <v>2870.64</v>
      </c>
      <c r="M295" s="289"/>
      <c r="N295" s="231"/>
      <c r="O295" s="223"/>
    </row>
    <row r="296" spans="1:15" ht="33.75">
      <c r="A296" s="209"/>
      <c r="B296" s="260"/>
      <c r="C296" s="260"/>
      <c r="D296" s="241"/>
      <c r="E296" s="212"/>
      <c r="F296" s="142" t="s">
        <v>795</v>
      </c>
      <c r="G296" s="251"/>
      <c r="H296" s="255"/>
      <c r="I296" s="285"/>
      <c r="J296" s="15">
        <v>138</v>
      </c>
      <c r="K296" s="14"/>
      <c r="L296" s="31">
        <f t="shared" si="30"/>
        <v>138</v>
      </c>
      <c r="M296" s="289"/>
      <c r="N296" s="231"/>
      <c r="O296" s="223"/>
    </row>
    <row r="297" spans="1:15" ht="22.5">
      <c r="A297" s="209"/>
      <c r="B297" s="260"/>
      <c r="C297" s="260"/>
      <c r="D297" s="241"/>
      <c r="E297" s="212"/>
      <c r="F297" s="142" t="s">
        <v>590</v>
      </c>
      <c r="G297" s="251"/>
      <c r="H297" s="255"/>
      <c r="I297" s="285"/>
      <c r="J297" s="15">
        <v>2548.44</v>
      </c>
      <c r="K297" s="14"/>
      <c r="L297" s="31">
        <f t="shared" si="30"/>
        <v>2548.44</v>
      </c>
      <c r="M297" s="289"/>
      <c r="N297" s="231"/>
      <c r="O297" s="223"/>
    </row>
    <row r="298" spans="1:15" ht="22.5">
      <c r="A298" s="209"/>
      <c r="B298" s="260"/>
      <c r="C298" s="260"/>
      <c r="D298" s="241"/>
      <c r="E298" s="212"/>
      <c r="F298" s="142" t="s">
        <v>591</v>
      </c>
      <c r="G298" s="251"/>
      <c r="H298" s="255"/>
      <c r="I298" s="285"/>
      <c r="J298" s="15">
        <v>6104.76</v>
      </c>
      <c r="K298" s="14"/>
      <c r="L298" s="31">
        <f t="shared" si="30"/>
        <v>6104.76</v>
      </c>
      <c r="M298" s="289"/>
      <c r="N298" s="231"/>
      <c r="O298" s="223"/>
    </row>
    <row r="299" spans="1:15" ht="22.5">
      <c r="A299" s="209"/>
      <c r="B299" s="260"/>
      <c r="C299" s="260"/>
      <c r="D299" s="241"/>
      <c r="E299" s="212"/>
      <c r="F299" s="142" t="s">
        <v>592</v>
      </c>
      <c r="G299" s="251"/>
      <c r="H299" s="255"/>
      <c r="I299" s="285"/>
      <c r="J299" s="15">
        <v>203.41</v>
      </c>
      <c r="K299" s="14"/>
      <c r="L299" s="31">
        <f t="shared" si="30"/>
        <v>203.41</v>
      </c>
      <c r="M299" s="289"/>
      <c r="N299" s="231"/>
      <c r="O299" s="223"/>
    </row>
    <row r="300" spans="1:15" ht="22.5">
      <c r="A300" s="209"/>
      <c r="B300" s="260"/>
      <c r="C300" s="260"/>
      <c r="D300" s="241"/>
      <c r="E300" s="212"/>
      <c r="F300" s="142" t="s">
        <v>796</v>
      </c>
      <c r="G300" s="251"/>
      <c r="H300" s="255"/>
      <c r="I300" s="285"/>
      <c r="J300" s="15">
        <v>7000</v>
      </c>
      <c r="K300" s="14"/>
      <c r="L300" s="31">
        <f t="shared" si="30"/>
        <v>7000</v>
      </c>
      <c r="M300" s="289"/>
      <c r="N300" s="231"/>
      <c r="O300" s="223"/>
    </row>
    <row r="301" spans="1:15" ht="22.5">
      <c r="A301" s="209"/>
      <c r="B301" s="260"/>
      <c r="C301" s="260"/>
      <c r="D301" s="241"/>
      <c r="E301" s="212"/>
      <c r="F301" s="142" t="s">
        <v>797</v>
      </c>
      <c r="G301" s="251"/>
      <c r="H301" s="255"/>
      <c r="I301" s="285"/>
      <c r="J301" s="15"/>
      <c r="K301" s="14">
        <v>142</v>
      </c>
      <c r="L301" s="31">
        <f t="shared" si="30"/>
        <v>142</v>
      </c>
      <c r="M301" s="289"/>
      <c r="N301" s="231"/>
      <c r="O301" s="223"/>
    </row>
    <row r="302" spans="1:15" ht="22.5">
      <c r="A302" s="209"/>
      <c r="B302" s="260"/>
      <c r="C302" s="260"/>
      <c r="D302" s="241"/>
      <c r="E302" s="212"/>
      <c r="F302" s="142" t="s">
        <v>593</v>
      </c>
      <c r="G302" s="251"/>
      <c r="H302" s="255"/>
      <c r="I302" s="285"/>
      <c r="J302" s="15"/>
      <c r="K302" s="14">
        <v>13010</v>
      </c>
      <c r="L302" s="31">
        <f t="shared" si="30"/>
        <v>13010</v>
      </c>
      <c r="M302" s="289"/>
      <c r="N302" s="231"/>
      <c r="O302" s="223"/>
    </row>
    <row r="303" spans="1:15" ht="22.5">
      <c r="A303" s="209"/>
      <c r="B303" s="260"/>
      <c r="C303" s="260"/>
      <c r="D303" s="241"/>
      <c r="E303" s="212"/>
      <c r="F303" s="142" t="s">
        <v>594</v>
      </c>
      <c r="G303" s="252"/>
      <c r="H303" s="256"/>
      <c r="I303" s="285"/>
      <c r="J303" s="15">
        <v>1004.01</v>
      </c>
      <c r="K303" s="14"/>
      <c r="L303" s="31">
        <f t="shared" si="30"/>
        <v>1004.01</v>
      </c>
      <c r="M303" s="290"/>
      <c r="N303" s="232"/>
      <c r="O303" s="224"/>
    </row>
    <row r="304" spans="1:15" ht="22.5">
      <c r="A304" s="209"/>
      <c r="B304" s="260"/>
      <c r="C304" s="260"/>
      <c r="D304" s="241"/>
      <c r="E304" s="212"/>
      <c r="F304" s="142" t="s">
        <v>255</v>
      </c>
      <c r="G304" s="252"/>
      <c r="H304" s="256"/>
      <c r="I304" s="285"/>
      <c r="J304" s="15"/>
      <c r="K304" s="14">
        <v>1109.4</v>
      </c>
      <c r="L304" s="31">
        <f t="shared" si="30"/>
        <v>1109.4</v>
      </c>
      <c r="M304" s="290"/>
      <c r="N304" s="232"/>
      <c r="O304" s="224"/>
    </row>
    <row r="305" spans="1:15" ht="22.5">
      <c r="A305" s="209"/>
      <c r="B305" s="260"/>
      <c r="C305" s="260"/>
      <c r="D305" s="241"/>
      <c r="E305" s="212"/>
      <c r="F305" s="142" t="s">
        <v>332</v>
      </c>
      <c r="G305" s="252"/>
      <c r="H305" s="256"/>
      <c r="I305" s="285"/>
      <c r="J305" s="15"/>
      <c r="K305" s="14">
        <v>394.86</v>
      </c>
      <c r="L305" s="31">
        <f t="shared" si="30"/>
        <v>394.86</v>
      </c>
      <c r="M305" s="290"/>
      <c r="N305" s="232"/>
      <c r="O305" s="224"/>
    </row>
    <row r="306" spans="1:15" ht="22.5">
      <c r="A306" s="209"/>
      <c r="B306" s="260"/>
      <c r="C306" s="260"/>
      <c r="D306" s="241"/>
      <c r="E306" s="212"/>
      <c r="F306" s="142" t="s">
        <v>256</v>
      </c>
      <c r="G306" s="252"/>
      <c r="H306" s="256"/>
      <c r="I306" s="285"/>
      <c r="J306" s="15"/>
      <c r="K306" s="14">
        <v>1726.94</v>
      </c>
      <c r="L306" s="31">
        <f t="shared" si="30"/>
        <v>1726.94</v>
      </c>
      <c r="M306" s="290"/>
      <c r="N306" s="232"/>
      <c r="O306" s="224"/>
    </row>
    <row r="307" spans="1:15" ht="22.5">
      <c r="A307" s="209"/>
      <c r="B307" s="260"/>
      <c r="C307" s="260"/>
      <c r="D307" s="241"/>
      <c r="E307" s="212"/>
      <c r="F307" s="142" t="s">
        <v>257</v>
      </c>
      <c r="G307" s="252"/>
      <c r="H307" s="256"/>
      <c r="I307" s="285"/>
      <c r="J307" s="15"/>
      <c r="K307" s="14">
        <v>319.3</v>
      </c>
      <c r="L307" s="31">
        <f>J307+K307</f>
        <v>319.3</v>
      </c>
      <c r="M307" s="290"/>
      <c r="N307" s="232"/>
      <c r="O307" s="224"/>
    </row>
    <row r="308" spans="1:15" ht="23.25" thickBot="1">
      <c r="A308" s="240"/>
      <c r="B308" s="282"/>
      <c r="C308" s="282"/>
      <c r="D308" s="284"/>
      <c r="E308" s="214"/>
      <c r="F308" s="143" t="s">
        <v>828</v>
      </c>
      <c r="G308" s="253"/>
      <c r="H308" s="257"/>
      <c r="I308" s="268"/>
      <c r="J308" s="15"/>
      <c r="K308" s="14">
        <v>275.6</v>
      </c>
      <c r="L308" s="50">
        <f t="shared" si="30"/>
        <v>275.6</v>
      </c>
      <c r="M308" s="238"/>
      <c r="N308" s="230"/>
      <c r="O308" s="225"/>
    </row>
    <row r="309" spans="1:15" ht="13.5" thickBot="1">
      <c r="A309" s="171" t="s">
        <v>595</v>
      </c>
      <c r="B309" s="172"/>
      <c r="C309" s="172"/>
      <c r="D309" s="178"/>
      <c r="E309" s="179"/>
      <c r="F309" s="185"/>
      <c r="G309" s="180">
        <f>G310</f>
        <v>68099</v>
      </c>
      <c r="H309" s="181">
        <f>H310</f>
        <v>94797</v>
      </c>
      <c r="I309" s="182">
        <f>I310</f>
        <v>162896</v>
      </c>
      <c r="J309" s="183">
        <f>SUM(J310:J322)</f>
        <v>68033.48</v>
      </c>
      <c r="K309" s="181">
        <f>SUM(K310:K322)</f>
        <v>82357</v>
      </c>
      <c r="L309" s="182">
        <f>SUM(L310:L322)</f>
        <v>150390.47999999998</v>
      </c>
      <c r="M309" s="180">
        <f>M310</f>
        <v>65.52000000000407</v>
      </c>
      <c r="N309" s="181">
        <f>N310</f>
        <v>12440</v>
      </c>
      <c r="O309" s="182">
        <f>O310</f>
        <v>12505.520000000004</v>
      </c>
    </row>
    <row r="310" spans="1:15" ht="22.5">
      <c r="A310" s="258" t="s">
        <v>596</v>
      </c>
      <c r="B310" s="281" t="s">
        <v>550</v>
      </c>
      <c r="C310" s="281" t="s">
        <v>300</v>
      </c>
      <c r="D310" s="283"/>
      <c r="E310" s="211"/>
      <c r="F310" s="101" t="s">
        <v>597</v>
      </c>
      <c r="G310" s="236">
        <v>68099</v>
      </c>
      <c r="H310" s="229">
        <f>69197+300+12440+420+12440</f>
        <v>94797</v>
      </c>
      <c r="I310" s="267">
        <f>SUM(G310:H310)</f>
        <v>162896</v>
      </c>
      <c r="J310" s="12">
        <v>16960</v>
      </c>
      <c r="K310" s="13"/>
      <c r="L310" s="21">
        <f aca="true" t="shared" si="31" ref="L310:L322">J310+K310</f>
        <v>16960</v>
      </c>
      <c r="M310" s="250">
        <f>G309-J309</f>
        <v>65.52000000000407</v>
      </c>
      <c r="N310" s="229">
        <f>H309-K309</f>
        <v>12440</v>
      </c>
      <c r="O310" s="222">
        <f>SUM(M310:N310)</f>
        <v>12505.520000000004</v>
      </c>
    </row>
    <row r="311" spans="1:15" ht="22.5">
      <c r="A311" s="220"/>
      <c r="B311" s="260"/>
      <c r="C311" s="260"/>
      <c r="D311" s="241"/>
      <c r="E311" s="212"/>
      <c r="F311" s="142" t="s">
        <v>598</v>
      </c>
      <c r="G311" s="289"/>
      <c r="H311" s="231"/>
      <c r="I311" s="285"/>
      <c r="J311" s="15"/>
      <c r="K311" s="14">
        <v>21500</v>
      </c>
      <c r="L311" s="31">
        <f t="shared" si="31"/>
        <v>21500</v>
      </c>
      <c r="M311" s="251"/>
      <c r="N311" s="231"/>
      <c r="O311" s="223"/>
    </row>
    <row r="312" spans="1:15" ht="22.5">
      <c r="A312" s="220"/>
      <c r="B312" s="260"/>
      <c r="C312" s="260"/>
      <c r="D312" s="241"/>
      <c r="E312" s="212"/>
      <c r="F312" s="142" t="s">
        <v>798</v>
      </c>
      <c r="G312" s="289"/>
      <c r="H312" s="231"/>
      <c r="I312" s="285"/>
      <c r="J312" s="15">
        <v>10988.48</v>
      </c>
      <c r="K312" s="14"/>
      <c r="L312" s="31">
        <f t="shared" si="31"/>
        <v>10988.48</v>
      </c>
      <c r="M312" s="251"/>
      <c r="N312" s="231"/>
      <c r="O312" s="223"/>
    </row>
    <row r="313" spans="1:15" ht="22.5">
      <c r="A313" s="220"/>
      <c r="B313" s="260"/>
      <c r="C313" s="260"/>
      <c r="D313" s="241"/>
      <c r="E313" s="212"/>
      <c r="F313" s="142" t="s">
        <v>599</v>
      </c>
      <c r="G313" s="289"/>
      <c r="H313" s="231"/>
      <c r="I313" s="285"/>
      <c r="J313" s="15"/>
      <c r="K313" s="14">
        <v>450</v>
      </c>
      <c r="L313" s="31">
        <f t="shared" si="31"/>
        <v>450</v>
      </c>
      <c r="M313" s="251"/>
      <c r="N313" s="231"/>
      <c r="O313" s="223"/>
    </row>
    <row r="314" spans="1:15" ht="22.5">
      <c r="A314" s="220"/>
      <c r="B314" s="260"/>
      <c r="C314" s="260"/>
      <c r="D314" s="241"/>
      <c r="E314" s="212"/>
      <c r="F314" s="142" t="s">
        <v>600</v>
      </c>
      <c r="G314" s="289"/>
      <c r="H314" s="231"/>
      <c r="I314" s="285"/>
      <c r="J314" s="15">
        <v>18500</v>
      </c>
      <c r="K314" s="14"/>
      <c r="L314" s="31">
        <f t="shared" si="31"/>
        <v>18500</v>
      </c>
      <c r="M314" s="251"/>
      <c r="N314" s="231"/>
      <c r="O314" s="223"/>
    </row>
    <row r="315" spans="1:15" ht="22.5">
      <c r="A315" s="220"/>
      <c r="B315" s="260"/>
      <c r="C315" s="260"/>
      <c r="D315" s="241"/>
      <c r="E315" s="212"/>
      <c r="F315" s="142" t="s">
        <v>601</v>
      </c>
      <c r="G315" s="289"/>
      <c r="H315" s="231"/>
      <c r="I315" s="285"/>
      <c r="J315" s="15">
        <v>6920</v>
      </c>
      <c r="K315" s="14"/>
      <c r="L315" s="31">
        <f t="shared" si="31"/>
        <v>6920</v>
      </c>
      <c r="M315" s="251"/>
      <c r="N315" s="231"/>
      <c r="O315" s="223"/>
    </row>
    <row r="316" spans="1:15" ht="22.5">
      <c r="A316" s="220"/>
      <c r="B316" s="260"/>
      <c r="C316" s="260"/>
      <c r="D316" s="241"/>
      <c r="E316" s="212"/>
      <c r="F316" s="142" t="s">
        <v>602</v>
      </c>
      <c r="G316" s="289"/>
      <c r="H316" s="231"/>
      <c r="I316" s="285"/>
      <c r="J316" s="15">
        <v>10800</v>
      </c>
      <c r="K316" s="14"/>
      <c r="L316" s="31">
        <f t="shared" si="31"/>
        <v>10800</v>
      </c>
      <c r="M316" s="251"/>
      <c r="N316" s="231"/>
      <c r="O316" s="223"/>
    </row>
    <row r="317" spans="1:15" ht="22.5">
      <c r="A317" s="220"/>
      <c r="B317" s="260"/>
      <c r="C317" s="260"/>
      <c r="D317" s="241"/>
      <c r="E317" s="212"/>
      <c r="F317" s="142" t="s">
        <v>603</v>
      </c>
      <c r="G317" s="289"/>
      <c r="H317" s="231"/>
      <c r="I317" s="285"/>
      <c r="J317" s="15">
        <v>165</v>
      </c>
      <c r="K317" s="14"/>
      <c r="L317" s="31">
        <f t="shared" si="31"/>
        <v>165</v>
      </c>
      <c r="M317" s="251"/>
      <c r="N317" s="231"/>
      <c r="O317" s="223"/>
    </row>
    <row r="318" spans="1:15" ht="22.5">
      <c r="A318" s="220"/>
      <c r="B318" s="260"/>
      <c r="C318" s="260"/>
      <c r="D318" s="241"/>
      <c r="E318" s="212"/>
      <c r="F318" s="142" t="s">
        <v>604</v>
      </c>
      <c r="G318" s="289"/>
      <c r="H318" s="231"/>
      <c r="I318" s="285"/>
      <c r="J318" s="15">
        <v>3700</v>
      </c>
      <c r="K318" s="14"/>
      <c r="L318" s="31">
        <f t="shared" si="31"/>
        <v>3700</v>
      </c>
      <c r="M318" s="251"/>
      <c r="N318" s="231"/>
      <c r="O318" s="223"/>
    </row>
    <row r="319" spans="1:15" ht="22.5">
      <c r="A319" s="220"/>
      <c r="B319" s="260"/>
      <c r="C319" s="260"/>
      <c r="D319" s="241"/>
      <c r="E319" s="212"/>
      <c r="F319" s="142" t="s">
        <v>605</v>
      </c>
      <c r="G319" s="289"/>
      <c r="H319" s="231"/>
      <c r="I319" s="285"/>
      <c r="J319" s="15"/>
      <c r="K319" s="14">
        <v>43707</v>
      </c>
      <c r="L319" s="31">
        <f t="shared" si="31"/>
        <v>43707</v>
      </c>
      <c r="M319" s="251"/>
      <c r="N319" s="231"/>
      <c r="O319" s="223"/>
    </row>
    <row r="320" spans="1:15" ht="22.5">
      <c r="A320" s="220"/>
      <c r="B320" s="260"/>
      <c r="C320" s="260"/>
      <c r="D320" s="241"/>
      <c r="E320" s="212"/>
      <c r="F320" s="142" t="s">
        <v>606</v>
      </c>
      <c r="G320" s="290"/>
      <c r="H320" s="232"/>
      <c r="I320" s="285"/>
      <c r="J320" s="15"/>
      <c r="K320" s="14">
        <v>3840</v>
      </c>
      <c r="L320" s="31">
        <f t="shared" si="31"/>
        <v>3840</v>
      </c>
      <c r="M320" s="252"/>
      <c r="N320" s="232"/>
      <c r="O320" s="224"/>
    </row>
    <row r="321" spans="1:15" ht="22.5">
      <c r="A321" s="220"/>
      <c r="B321" s="260"/>
      <c r="C321" s="260"/>
      <c r="D321" s="241"/>
      <c r="E321" s="212"/>
      <c r="F321" s="142" t="s">
        <v>258</v>
      </c>
      <c r="G321" s="290"/>
      <c r="H321" s="232"/>
      <c r="I321" s="285"/>
      <c r="J321" s="15"/>
      <c r="K321" s="93">
        <v>12440</v>
      </c>
      <c r="L321" s="31">
        <f t="shared" si="31"/>
        <v>12440</v>
      </c>
      <c r="M321" s="252"/>
      <c r="N321" s="232"/>
      <c r="O321" s="224"/>
    </row>
    <row r="322" spans="1:15" ht="23.25" thickBot="1">
      <c r="A322" s="221"/>
      <c r="B322" s="282"/>
      <c r="C322" s="282"/>
      <c r="D322" s="284"/>
      <c r="E322" s="214"/>
      <c r="F322" s="143" t="s">
        <v>259</v>
      </c>
      <c r="G322" s="238"/>
      <c r="H322" s="230"/>
      <c r="I322" s="268"/>
      <c r="J322" s="83"/>
      <c r="K322" s="152">
        <v>420</v>
      </c>
      <c r="L322" s="50">
        <f t="shared" si="31"/>
        <v>420</v>
      </c>
      <c r="M322" s="253"/>
      <c r="N322" s="230"/>
      <c r="O322" s="225"/>
    </row>
    <row r="323" spans="1:15" ht="13.5" thickBot="1">
      <c r="A323" s="171" t="s">
        <v>298</v>
      </c>
      <c r="B323" s="172"/>
      <c r="C323" s="172"/>
      <c r="D323" s="178"/>
      <c r="E323" s="179"/>
      <c r="F323" s="184"/>
      <c r="G323" s="180">
        <f>G324</f>
        <v>0</v>
      </c>
      <c r="H323" s="181">
        <f>H324</f>
        <v>7117</v>
      </c>
      <c r="I323" s="182">
        <f>I324</f>
        <v>7117</v>
      </c>
      <c r="J323" s="183">
        <f>SUM(J324:J325)</f>
        <v>0</v>
      </c>
      <c r="K323" s="181">
        <f>SUM(K324:K325)</f>
        <v>7116.8</v>
      </c>
      <c r="L323" s="182">
        <f>SUM(L324:L325)</f>
        <v>7116.8</v>
      </c>
      <c r="M323" s="180">
        <f>M324</f>
        <v>0</v>
      </c>
      <c r="N323" s="181">
        <f>N324</f>
        <v>0.1999999999998181</v>
      </c>
      <c r="O323" s="182">
        <f>O324</f>
        <v>0.1999999999998181</v>
      </c>
    </row>
    <row r="324" spans="1:15" ht="22.5">
      <c r="A324" s="273" t="s">
        <v>299</v>
      </c>
      <c r="B324" s="281" t="s">
        <v>550</v>
      </c>
      <c r="C324" s="281" t="s">
        <v>20</v>
      </c>
      <c r="D324" s="283"/>
      <c r="E324" s="277"/>
      <c r="F324" s="101" t="s">
        <v>491</v>
      </c>
      <c r="G324" s="242"/>
      <c r="H324" s="244">
        <f>5000+2117</f>
        <v>7117</v>
      </c>
      <c r="I324" s="267">
        <f>SUM(G324:H324)</f>
        <v>7117</v>
      </c>
      <c r="J324" s="12"/>
      <c r="K324" s="13">
        <v>5000</v>
      </c>
      <c r="L324" s="21">
        <f>J324+K324</f>
        <v>5000</v>
      </c>
      <c r="M324" s="263">
        <f>G322-J322</f>
        <v>0</v>
      </c>
      <c r="N324" s="265">
        <f>H323-K323</f>
        <v>0.1999999999998181</v>
      </c>
      <c r="O324" s="267">
        <f>SUM(M324:N324)</f>
        <v>0.1999999999998181</v>
      </c>
    </row>
    <row r="325" spans="1:15" ht="32.25" customHeight="1" thickBot="1">
      <c r="A325" s="274"/>
      <c r="B325" s="282"/>
      <c r="C325" s="282"/>
      <c r="D325" s="284"/>
      <c r="E325" s="278"/>
      <c r="F325" s="143" t="s">
        <v>23</v>
      </c>
      <c r="G325" s="243"/>
      <c r="H325" s="245"/>
      <c r="I325" s="268"/>
      <c r="J325" s="83"/>
      <c r="K325" s="152">
        <v>2116.8</v>
      </c>
      <c r="L325" s="50">
        <f>J325+K325</f>
        <v>2116.8</v>
      </c>
      <c r="M325" s="264"/>
      <c r="N325" s="266"/>
      <c r="O325" s="268"/>
    </row>
    <row r="326" spans="1:15" ht="13.5" thickBot="1">
      <c r="A326" s="171" t="s">
        <v>607</v>
      </c>
      <c r="B326" s="172"/>
      <c r="C326" s="172"/>
      <c r="D326" s="178"/>
      <c r="E326" s="179"/>
      <c r="F326" s="186"/>
      <c r="G326" s="180">
        <f>G327</f>
        <v>5416</v>
      </c>
      <c r="H326" s="181">
        <f>H327</f>
        <v>192840</v>
      </c>
      <c r="I326" s="182">
        <f>I327</f>
        <v>198256</v>
      </c>
      <c r="J326" s="183">
        <f>SUM(J327:J329)</f>
        <v>3412.5</v>
      </c>
      <c r="K326" s="181">
        <f>SUM(K327:K329)</f>
        <v>182846.4</v>
      </c>
      <c r="L326" s="182">
        <f>SUM(L327:L329)</f>
        <v>186258.9</v>
      </c>
      <c r="M326" s="180">
        <f>M327</f>
        <v>2003.5</v>
      </c>
      <c r="N326" s="181">
        <f>N327</f>
        <v>9993.600000000006</v>
      </c>
      <c r="O326" s="182">
        <f>O327</f>
        <v>11997.100000000006</v>
      </c>
    </row>
    <row r="327" spans="1:15" ht="22.5">
      <c r="A327" s="273" t="s">
        <v>608</v>
      </c>
      <c r="B327" s="281" t="s">
        <v>550</v>
      </c>
      <c r="C327" s="281" t="s">
        <v>77</v>
      </c>
      <c r="D327" s="283"/>
      <c r="E327" s="277"/>
      <c r="F327" s="101" t="s">
        <v>491</v>
      </c>
      <c r="G327" s="246">
        <v>5416</v>
      </c>
      <c r="H327" s="265">
        <f>43346-300+149951+3663-3820</f>
        <v>192840</v>
      </c>
      <c r="I327" s="267">
        <f>SUM(G327:H327)</f>
        <v>198256</v>
      </c>
      <c r="J327" s="12">
        <v>3412.5</v>
      </c>
      <c r="K327" s="13"/>
      <c r="L327" s="21">
        <f>J327+K327</f>
        <v>3412.5</v>
      </c>
      <c r="M327" s="263">
        <f>G326-J326</f>
        <v>2003.5</v>
      </c>
      <c r="N327" s="265">
        <f>H326-K326</f>
        <v>9993.600000000006</v>
      </c>
      <c r="O327" s="267">
        <f>SUM(M327:N327)</f>
        <v>11997.100000000006</v>
      </c>
    </row>
    <row r="328" spans="1:15" ht="33.75" customHeight="1">
      <c r="A328" s="259"/>
      <c r="B328" s="260"/>
      <c r="C328" s="260"/>
      <c r="D328" s="241"/>
      <c r="E328" s="306"/>
      <c r="F328" s="142" t="s">
        <v>22</v>
      </c>
      <c r="G328" s="249"/>
      <c r="H328" s="286"/>
      <c r="I328" s="285"/>
      <c r="J328" s="15"/>
      <c r="K328" s="93">
        <v>3662.4</v>
      </c>
      <c r="L328" s="31">
        <f>J328+K328</f>
        <v>3662.4</v>
      </c>
      <c r="M328" s="287"/>
      <c r="N328" s="286"/>
      <c r="O328" s="285"/>
    </row>
    <row r="329" spans="1:15" ht="33.75" customHeight="1" thickBot="1">
      <c r="A329" s="274"/>
      <c r="B329" s="282"/>
      <c r="C329" s="282"/>
      <c r="D329" s="284"/>
      <c r="E329" s="278"/>
      <c r="F329" s="143" t="s">
        <v>350</v>
      </c>
      <c r="G329" s="247"/>
      <c r="H329" s="266"/>
      <c r="I329" s="268"/>
      <c r="J329" s="83"/>
      <c r="K329" s="152">
        <v>179184</v>
      </c>
      <c r="L329" s="50">
        <f>J329+K329</f>
        <v>179184</v>
      </c>
      <c r="M329" s="264"/>
      <c r="N329" s="266"/>
      <c r="O329" s="268"/>
    </row>
    <row r="330" spans="1:15" ht="13.5" thickBot="1">
      <c r="A330" s="171" t="s">
        <v>609</v>
      </c>
      <c r="B330" s="172"/>
      <c r="C330" s="172"/>
      <c r="D330" s="178"/>
      <c r="E330" s="179"/>
      <c r="F330" s="185"/>
      <c r="G330" s="180">
        <f aca="true" t="shared" si="32" ref="G330:O330">G331</f>
        <v>0</v>
      </c>
      <c r="H330" s="181">
        <f t="shared" si="32"/>
        <v>300</v>
      </c>
      <c r="I330" s="182">
        <f t="shared" si="32"/>
        <v>300</v>
      </c>
      <c r="J330" s="183">
        <f t="shared" si="32"/>
        <v>0</v>
      </c>
      <c r="K330" s="181">
        <f t="shared" si="32"/>
        <v>0</v>
      </c>
      <c r="L330" s="182">
        <f t="shared" si="32"/>
        <v>0</v>
      </c>
      <c r="M330" s="180">
        <f t="shared" si="32"/>
        <v>0</v>
      </c>
      <c r="N330" s="181">
        <f t="shared" si="32"/>
        <v>300</v>
      </c>
      <c r="O330" s="182">
        <f t="shared" si="32"/>
        <v>300</v>
      </c>
    </row>
    <row r="331" spans="1:15" ht="34.5" customHeight="1" thickBot="1">
      <c r="A331" s="75" t="s">
        <v>610</v>
      </c>
      <c r="B331" s="76" t="s">
        <v>550</v>
      </c>
      <c r="C331" s="76" t="s">
        <v>683</v>
      </c>
      <c r="D331" s="77"/>
      <c r="E331" s="78"/>
      <c r="F331" s="78"/>
      <c r="G331" s="42"/>
      <c r="H331" s="38">
        <f>3000-2700</f>
        <v>300</v>
      </c>
      <c r="I331" s="94">
        <f>SUM(G331:H331)</f>
        <v>300</v>
      </c>
      <c r="J331" s="37"/>
      <c r="K331" s="38"/>
      <c r="L331" s="39">
        <f>J331+K331</f>
        <v>0</v>
      </c>
      <c r="M331" s="42">
        <f>G330-J330</f>
        <v>0</v>
      </c>
      <c r="N331" s="201">
        <f>H330-K330</f>
        <v>300</v>
      </c>
      <c r="O331" s="39">
        <f>SUM(M331:N331)</f>
        <v>300</v>
      </c>
    </row>
    <row r="332" spans="1:15" ht="13.5" thickBot="1">
      <c r="A332" s="171" t="s">
        <v>611</v>
      </c>
      <c r="B332" s="172"/>
      <c r="C332" s="172"/>
      <c r="D332" s="178"/>
      <c r="E332" s="179"/>
      <c r="F332" s="179"/>
      <c r="G332" s="180">
        <f>G333</f>
        <v>5212</v>
      </c>
      <c r="H332" s="181">
        <f>H333</f>
        <v>650</v>
      </c>
      <c r="I332" s="182">
        <f>I333</f>
        <v>5862</v>
      </c>
      <c r="J332" s="183">
        <f>SUM(J333:J334)</f>
        <v>5111.64</v>
      </c>
      <c r="K332" s="181">
        <f>SUM(K333:K334)</f>
        <v>650</v>
      </c>
      <c r="L332" s="182">
        <f>SUM(L333:L334)</f>
        <v>5761.64</v>
      </c>
      <c r="M332" s="180">
        <f>M333</f>
        <v>100.35999999999967</v>
      </c>
      <c r="N332" s="181">
        <f>N333</f>
        <v>0</v>
      </c>
      <c r="O332" s="182">
        <f>O333</f>
        <v>100.35999999999967</v>
      </c>
    </row>
    <row r="333" spans="1:15" ht="22.5">
      <c r="A333" s="239" t="s">
        <v>612</v>
      </c>
      <c r="B333" s="281" t="s">
        <v>550</v>
      </c>
      <c r="C333" s="281" t="s">
        <v>684</v>
      </c>
      <c r="D333" s="283"/>
      <c r="E333" s="215"/>
      <c r="F333" s="90" t="s">
        <v>799</v>
      </c>
      <c r="G333" s="263">
        <v>5212</v>
      </c>
      <c r="H333" s="265">
        <f>5650-5000</f>
        <v>650</v>
      </c>
      <c r="I333" s="226">
        <f>SUM(G333:H333)</f>
        <v>5862</v>
      </c>
      <c r="J333" s="13">
        <v>5111.64</v>
      </c>
      <c r="K333" s="13"/>
      <c r="L333" s="117">
        <f>J333+K333</f>
        <v>5111.64</v>
      </c>
      <c r="M333" s="265">
        <f>G332-J332</f>
        <v>100.35999999999967</v>
      </c>
      <c r="N333" s="206">
        <f>H332-K332</f>
        <v>0</v>
      </c>
      <c r="O333" s="208">
        <f>SUM(M333:N333)</f>
        <v>100.35999999999967</v>
      </c>
    </row>
    <row r="334" spans="1:15" ht="23.25" thickBot="1">
      <c r="A334" s="240"/>
      <c r="B334" s="282"/>
      <c r="C334" s="282"/>
      <c r="D334" s="284"/>
      <c r="E334" s="217"/>
      <c r="F334" s="74" t="s">
        <v>492</v>
      </c>
      <c r="G334" s="264"/>
      <c r="H334" s="266"/>
      <c r="I334" s="228"/>
      <c r="J334" s="63"/>
      <c r="K334" s="63">
        <v>650</v>
      </c>
      <c r="L334" s="118">
        <f>J334+K334</f>
        <v>650</v>
      </c>
      <c r="M334" s="266"/>
      <c r="N334" s="207"/>
      <c r="O334" s="288"/>
    </row>
    <row r="335" spans="1:15" ht="13.5" thickBot="1">
      <c r="A335" s="171" t="s">
        <v>613</v>
      </c>
      <c r="B335" s="172"/>
      <c r="C335" s="172"/>
      <c r="D335" s="178"/>
      <c r="E335" s="179"/>
      <c r="F335" s="179"/>
      <c r="G335" s="180">
        <f aca="true" t="shared" si="33" ref="G335:O335">G336</f>
        <v>0</v>
      </c>
      <c r="H335" s="181">
        <f t="shared" si="33"/>
        <v>170</v>
      </c>
      <c r="I335" s="182">
        <f t="shared" si="33"/>
        <v>170</v>
      </c>
      <c r="J335" s="183">
        <f t="shared" si="33"/>
        <v>0</v>
      </c>
      <c r="K335" s="181">
        <f t="shared" si="33"/>
        <v>0</v>
      </c>
      <c r="L335" s="182">
        <f t="shared" si="33"/>
        <v>0</v>
      </c>
      <c r="M335" s="180">
        <f t="shared" si="33"/>
        <v>0</v>
      </c>
      <c r="N335" s="181">
        <f t="shared" si="33"/>
        <v>170</v>
      </c>
      <c r="O335" s="182">
        <f t="shared" si="33"/>
        <v>170</v>
      </c>
    </row>
    <row r="336" spans="1:15" ht="58.5" customHeight="1" thickBot="1">
      <c r="A336" s="75" t="s">
        <v>614</v>
      </c>
      <c r="B336" s="76" t="s">
        <v>550</v>
      </c>
      <c r="C336" s="76" t="s">
        <v>24</v>
      </c>
      <c r="D336" s="77"/>
      <c r="E336" s="78"/>
      <c r="F336" s="78"/>
      <c r="G336" s="169"/>
      <c r="H336" s="151">
        <f>5000-4830</f>
        <v>170</v>
      </c>
      <c r="I336" s="94">
        <f>SUM(G336:H336)</f>
        <v>170</v>
      </c>
      <c r="J336" s="37"/>
      <c r="K336" s="38"/>
      <c r="L336" s="39">
        <f>J336+K336</f>
        <v>0</v>
      </c>
      <c r="M336" s="42">
        <f>G335-J335</f>
        <v>0</v>
      </c>
      <c r="N336" s="38">
        <f>H335-K335</f>
        <v>170</v>
      </c>
      <c r="O336" s="39">
        <f>SUM(M336:N336)</f>
        <v>170</v>
      </c>
    </row>
    <row r="337" spans="1:15" ht="13.5" thickBot="1">
      <c r="A337" s="171" t="s">
        <v>615</v>
      </c>
      <c r="B337" s="172"/>
      <c r="C337" s="172"/>
      <c r="D337" s="178"/>
      <c r="E337" s="179"/>
      <c r="F337" s="179"/>
      <c r="G337" s="180">
        <f aca="true" t="shared" si="34" ref="G337:O337">G338</f>
        <v>0</v>
      </c>
      <c r="H337" s="181">
        <f t="shared" si="34"/>
        <v>200</v>
      </c>
      <c r="I337" s="182">
        <f t="shared" si="34"/>
        <v>200</v>
      </c>
      <c r="J337" s="183">
        <f t="shared" si="34"/>
        <v>0</v>
      </c>
      <c r="K337" s="181">
        <f t="shared" si="34"/>
        <v>0</v>
      </c>
      <c r="L337" s="182">
        <f t="shared" si="34"/>
        <v>0</v>
      </c>
      <c r="M337" s="180">
        <f t="shared" si="34"/>
        <v>0</v>
      </c>
      <c r="N337" s="181">
        <f t="shared" si="34"/>
        <v>200</v>
      </c>
      <c r="O337" s="182">
        <f t="shared" si="34"/>
        <v>200</v>
      </c>
    </row>
    <row r="338" spans="1:15" ht="58.5" customHeight="1" thickBot="1">
      <c r="A338" s="75" t="s">
        <v>616</v>
      </c>
      <c r="B338" s="76" t="s">
        <v>550</v>
      </c>
      <c r="C338" s="76" t="s">
        <v>857</v>
      </c>
      <c r="D338" s="77"/>
      <c r="E338" s="78"/>
      <c r="F338" s="78"/>
      <c r="G338" s="169"/>
      <c r="H338" s="151">
        <f>5000-4000-800</f>
        <v>200</v>
      </c>
      <c r="I338" s="94">
        <f>SUM(G338:H338)</f>
        <v>200</v>
      </c>
      <c r="J338" s="37"/>
      <c r="K338" s="38"/>
      <c r="L338" s="39">
        <f>J338+K338</f>
        <v>0</v>
      </c>
      <c r="M338" s="42">
        <f>G337-J337</f>
        <v>0</v>
      </c>
      <c r="N338" s="201">
        <f>H337-K337</f>
        <v>200</v>
      </c>
      <c r="O338" s="39">
        <f>SUM(M338:N338)</f>
        <v>200</v>
      </c>
    </row>
    <row r="339" spans="1:15" ht="13.5" thickBot="1">
      <c r="A339" s="171" t="s">
        <v>617</v>
      </c>
      <c r="B339" s="172"/>
      <c r="C339" s="172"/>
      <c r="D339" s="178"/>
      <c r="E339" s="179"/>
      <c r="F339" s="179"/>
      <c r="G339" s="180">
        <f>G340</f>
        <v>3000</v>
      </c>
      <c r="H339" s="181">
        <f>H340</f>
        <v>1400</v>
      </c>
      <c r="I339" s="182">
        <f>I340</f>
        <v>4400</v>
      </c>
      <c r="J339" s="183">
        <f>SUM(J340:J343)</f>
        <v>2297.61</v>
      </c>
      <c r="K339" s="181">
        <f>SUM(K340:K343)</f>
        <v>1386.23</v>
      </c>
      <c r="L339" s="182">
        <f>SUM(L340:L343)</f>
        <v>3683.84</v>
      </c>
      <c r="M339" s="180">
        <f>M340</f>
        <v>702.3899999999999</v>
      </c>
      <c r="N339" s="181">
        <f>N340</f>
        <v>13.769999999999982</v>
      </c>
      <c r="O339" s="182">
        <f>O340</f>
        <v>716.1599999999999</v>
      </c>
    </row>
    <row r="340" spans="1:15" ht="22.5">
      <c r="A340" s="239" t="s">
        <v>618</v>
      </c>
      <c r="B340" s="281" t="s">
        <v>550</v>
      </c>
      <c r="C340" s="281" t="s">
        <v>685</v>
      </c>
      <c r="D340" s="283"/>
      <c r="E340" s="211"/>
      <c r="F340" s="101" t="s">
        <v>493</v>
      </c>
      <c r="G340" s="250">
        <v>3000</v>
      </c>
      <c r="H340" s="254">
        <f>8000-6600</f>
        <v>1400</v>
      </c>
      <c r="I340" s="226">
        <f>SUM(G340:H340)</f>
        <v>4400</v>
      </c>
      <c r="J340" s="13">
        <v>2297.61</v>
      </c>
      <c r="K340" s="13"/>
      <c r="L340" s="117">
        <f>J340+K340</f>
        <v>2297.61</v>
      </c>
      <c r="M340" s="254">
        <f>G339-J339</f>
        <v>702.3899999999999</v>
      </c>
      <c r="N340" s="218">
        <f>H339-K339</f>
        <v>13.769999999999982</v>
      </c>
      <c r="O340" s="222">
        <f>SUM(M340:N340)</f>
        <v>716.1599999999999</v>
      </c>
    </row>
    <row r="341" spans="1:15" ht="22.5">
      <c r="A341" s="209"/>
      <c r="B341" s="260"/>
      <c r="C341" s="260"/>
      <c r="D341" s="241"/>
      <c r="E341" s="212"/>
      <c r="F341" s="142" t="s">
        <v>494</v>
      </c>
      <c r="G341" s="251"/>
      <c r="H341" s="255"/>
      <c r="I341" s="227"/>
      <c r="J341" s="14"/>
      <c r="K341" s="14">
        <v>886.75</v>
      </c>
      <c r="L341" s="60">
        <f>J341+K341</f>
        <v>886.75</v>
      </c>
      <c r="M341" s="255"/>
      <c r="N341" s="219"/>
      <c r="O341" s="223"/>
    </row>
    <row r="342" spans="1:15" ht="22.5">
      <c r="A342" s="209"/>
      <c r="B342" s="260"/>
      <c r="C342" s="260"/>
      <c r="D342" s="241"/>
      <c r="E342" s="212"/>
      <c r="F342" s="142" t="s">
        <v>495</v>
      </c>
      <c r="G342" s="252"/>
      <c r="H342" s="256"/>
      <c r="I342" s="227"/>
      <c r="J342" s="14"/>
      <c r="K342" s="14">
        <v>130</v>
      </c>
      <c r="L342" s="60">
        <f>J342+K342</f>
        <v>130</v>
      </c>
      <c r="M342" s="256"/>
      <c r="N342" s="205"/>
      <c r="O342" s="224"/>
    </row>
    <row r="343" spans="1:15" ht="23.25" thickBot="1">
      <c r="A343" s="240"/>
      <c r="B343" s="282"/>
      <c r="C343" s="282"/>
      <c r="D343" s="284"/>
      <c r="E343" s="214"/>
      <c r="F343" s="143" t="s">
        <v>260</v>
      </c>
      <c r="G343" s="253"/>
      <c r="H343" s="257"/>
      <c r="I343" s="228"/>
      <c r="J343" s="82"/>
      <c r="K343" s="152">
        <v>369.48</v>
      </c>
      <c r="L343" s="84">
        <f>J343+K343</f>
        <v>369.48</v>
      </c>
      <c r="M343" s="257"/>
      <c r="N343" s="203"/>
      <c r="O343" s="225"/>
    </row>
    <row r="344" spans="1:15" ht="13.5" thickBot="1">
      <c r="A344" s="171" t="s">
        <v>619</v>
      </c>
      <c r="B344" s="172"/>
      <c r="C344" s="172"/>
      <c r="D344" s="178"/>
      <c r="E344" s="179"/>
      <c r="F344" s="185"/>
      <c r="G344" s="180">
        <f>G345</f>
        <v>2156</v>
      </c>
      <c r="H344" s="181">
        <f>H345</f>
        <v>500</v>
      </c>
      <c r="I344" s="182">
        <f>I345</f>
        <v>2656</v>
      </c>
      <c r="J344" s="183">
        <f>SUM(J345:J348)</f>
        <v>2155.75</v>
      </c>
      <c r="K344" s="181">
        <f>SUM(K345:K348)</f>
        <v>409.2</v>
      </c>
      <c r="L344" s="182">
        <f>SUM(L345:L348)</f>
        <v>2564.95</v>
      </c>
      <c r="M344" s="180">
        <f>M345</f>
        <v>0.25</v>
      </c>
      <c r="N344" s="181">
        <f>N345</f>
        <v>90.80000000000001</v>
      </c>
      <c r="O344" s="182">
        <f>O345</f>
        <v>91.05000000000001</v>
      </c>
    </row>
    <row r="345" spans="1:15" ht="33.75">
      <c r="A345" s="239" t="s">
        <v>620</v>
      </c>
      <c r="B345" s="281" t="s">
        <v>550</v>
      </c>
      <c r="C345" s="281" t="s">
        <v>686</v>
      </c>
      <c r="D345" s="283"/>
      <c r="E345" s="215"/>
      <c r="F345" s="90" t="s">
        <v>621</v>
      </c>
      <c r="G345" s="250">
        <f>1750+406</f>
        <v>2156</v>
      </c>
      <c r="H345" s="254">
        <f>7000-6500</f>
        <v>500</v>
      </c>
      <c r="I345" s="267">
        <f>SUM(G345:H345)</f>
        <v>2656</v>
      </c>
      <c r="J345" s="12">
        <v>460.8</v>
      </c>
      <c r="K345" s="13"/>
      <c r="L345" s="21">
        <f>J345+K345</f>
        <v>460.8</v>
      </c>
      <c r="M345" s="236">
        <f>G344-J344</f>
        <v>0.25</v>
      </c>
      <c r="N345" s="218">
        <f>H344-K344</f>
        <v>90.80000000000001</v>
      </c>
      <c r="O345" s="222">
        <f>SUM(M345:N345)</f>
        <v>91.05000000000001</v>
      </c>
    </row>
    <row r="346" spans="1:15" ht="22.5">
      <c r="A346" s="209"/>
      <c r="B346" s="260"/>
      <c r="C346" s="260"/>
      <c r="D346" s="241"/>
      <c r="E346" s="216"/>
      <c r="F346" s="91" t="s">
        <v>496</v>
      </c>
      <c r="G346" s="251"/>
      <c r="H346" s="255"/>
      <c r="I346" s="285"/>
      <c r="J346" s="15">
        <v>941.6</v>
      </c>
      <c r="K346" s="14"/>
      <c r="L346" s="31">
        <f>J346+K346</f>
        <v>941.6</v>
      </c>
      <c r="M346" s="289"/>
      <c r="N346" s="219"/>
      <c r="O346" s="223"/>
    </row>
    <row r="347" spans="1:15" ht="22.5">
      <c r="A347" s="209"/>
      <c r="B347" s="260"/>
      <c r="C347" s="260"/>
      <c r="D347" s="241"/>
      <c r="E347" s="216"/>
      <c r="F347" s="91" t="s">
        <v>622</v>
      </c>
      <c r="G347" s="252"/>
      <c r="H347" s="256"/>
      <c r="I347" s="285"/>
      <c r="J347" s="15">
        <v>753.35</v>
      </c>
      <c r="K347" s="14"/>
      <c r="L347" s="31">
        <f>J347+K347</f>
        <v>753.35</v>
      </c>
      <c r="M347" s="290"/>
      <c r="N347" s="205"/>
      <c r="O347" s="224"/>
    </row>
    <row r="348" spans="1:15" ht="23.25" thickBot="1">
      <c r="A348" s="240"/>
      <c r="B348" s="282"/>
      <c r="C348" s="282"/>
      <c r="D348" s="284"/>
      <c r="E348" s="217"/>
      <c r="F348" s="143" t="s">
        <v>261</v>
      </c>
      <c r="G348" s="253"/>
      <c r="H348" s="257"/>
      <c r="I348" s="268"/>
      <c r="J348" s="83"/>
      <c r="K348" s="152">
        <v>409.2</v>
      </c>
      <c r="L348" s="50">
        <f>J348+K348</f>
        <v>409.2</v>
      </c>
      <c r="M348" s="238"/>
      <c r="N348" s="203"/>
      <c r="O348" s="225"/>
    </row>
    <row r="349" spans="1:15" ht="13.5" thickBot="1">
      <c r="A349" s="171" t="s">
        <v>623</v>
      </c>
      <c r="B349" s="172"/>
      <c r="C349" s="172"/>
      <c r="D349" s="178"/>
      <c r="E349" s="179"/>
      <c r="F349" s="179"/>
      <c r="G349" s="180">
        <f>G350</f>
        <v>0</v>
      </c>
      <c r="H349" s="181">
        <f>H350</f>
        <v>23478</v>
      </c>
      <c r="I349" s="182">
        <f>I350</f>
        <v>23478</v>
      </c>
      <c r="J349" s="183">
        <f>SUM(J350:J354)</f>
        <v>0</v>
      </c>
      <c r="K349" s="181">
        <f>SUM(K350:K354)</f>
        <v>23390.64</v>
      </c>
      <c r="L349" s="182">
        <f>SUM(L350:L354)</f>
        <v>23390.64</v>
      </c>
      <c r="M349" s="180">
        <f>M350</f>
        <v>0</v>
      </c>
      <c r="N349" s="181">
        <f>N350</f>
        <v>87.36000000000058</v>
      </c>
      <c r="O349" s="182">
        <f>O350</f>
        <v>87.36000000000058</v>
      </c>
    </row>
    <row r="350" spans="1:15" ht="33.75">
      <c r="A350" s="239" t="s">
        <v>627</v>
      </c>
      <c r="B350" s="281" t="s">
        <v>550</v>
      </c>
      <c r="C350" s="281" t="s">
        <v>687</v>
      </c>
      <c r="D350" s="283"/>
      <c r="E350" s="215"/>
      <c r="F350" s="90" t="s">
        <v>497</v>
      </c>
      <c r="G350" s="250"/>
      <c r="H350" s="254">
        <f>36282-12804</f>
        <v>23478</v>
      </c>
      <c r="I350" s="267">
        <f>SUM(G350:H350)</f>
        <v>23478</v>
      </c>
      <c r="J350" s="12"/>
      <c r="K350" s="13">
        <v>6442.14</v>
      </c>
      <c r="L350" s="21">
        <f>J350+K350</f>
        <v>6442.14</v>
      </c>
      <c r="M350" s="250">
        <f>G349-J349</f>
        <v>0</v>
      </c>
      <c r="N350" s="218">
        <f>H349-K349</f>
        <v>87.36000000000058</v>
      </c>
      <c r="O350" s="222">
        <f>SUM(M350:N350)</f>
        <v>87.36000000000058</v>
      </c>
    </row>
    <row r="351" spans="1:15" ht="22.5">
      <c r="A351" s="209"/>
      <c r="B351" s="260"/>
      <c r="C351" s="260"/>
      <c r="D351" s="241"/>
      <c r="E351" s="216"/>
      <c r="F351" s="91" t="s">
        <v>800</v>
      </c>
      <c r="G351" s="251"/>
      <c r="H351" s="255"/>
      <c r="I351" s="285"/>
      <c r="J351" s="15"/>
      <c r="K351" s="14">
        <v>1053.6</v>
      </c>
      <c r="L351" s="31">
        <f>J351+K351</f>
        <v>1053.6</v>
      </c>
      <c r="M351" s="251"/>
      <c r="N351" s="219"/>
      <c r="O351" s="223"/>
    </row>
    <row r="352" spans="1:15" ht="22.5">
      <c r="A352" s="209"/>
      <c r="B352" s="260"/>
      <c r="C352" s="260"/>
      <c r="D352" s="241"/>
      <c r="E352" s="216"/>
      <c r="F352" s="91" t="s">
        <v>498</v>
      </c>
      <c r="G352" s="251"/>
      <c r="H352" s="255"/>
      <c r="I352" s="285"/>
      <c r="J352" s="15"/>
      <c r="K352" s="14">
        <v>5765.4</v>
      </c>
      <c r="L352" s="31">
        <f>J352+K352</f>
        <v>5765.4</v>
      </c>
      <c r="M352" s="251"/>
      <c r="N352" s="219"/>
      <c r="O352" s="223"/>
    </row>
    <row r="353" spans="1:15" ht="22.5">
      <c r="A353" s="209"/>
      <c r="B353" s="260"/>
      <c r="C353" s="260"/>
      <c r="D353" s="241"/>
      <c r="E353" s="216"/>
      <c r="F353" s="91" t="s">
        <v>499</v>
      </c>
      <c r="G353" s="251"/>
      <c r="H353" s="255"/>
      <c r="I353" s="285"/>
      <c r="J353" s="15"/>
      <c r="K353" s="14">
        <v>3017.28</v>
      </c>
      <c r="L353" s="31">
        <f>J353+K353</f>
        <v>3017.28</v>
      </c>
      <c r="M353" s="251"/>
      <c r="N353" s="219"/>
      <c r="O353" s="223"/>
    </row>
    <row r="354" spans="1:15" ht="23.25" thickBot="1">
      <c r="A354" s="240"/>
      <c r="B354" s="282"/>
      <c r="C354" s="282"/>
      <c r="D354" s="284"/>
      <c r="E354" s="217"/>
      <c r="F354" s="74" t="s">
        <v>500</v>
      </c>
      <c r="G354" s="253"/>
      <c r="H354" s="257"/>
      <c r="I354" s="268"/>
      <c r="J354" s="47"/>
      <c r="K354" s="63">
        <v>7112.22</v>
      </c>
      <c r="L354" s="46">
        <f>J354+K354</f>
        <v>7112.22</v>
      </c>
      <c r="M354" s="253"/>
      <c r="N354" s="203"/>
      <c r="O354" s="225"/>
    </row>
    <row r="355" spans="1:15" ht="13.5" thickBot="1">
      <c r="A355" s="171" t="s">
        <v>628</v>
      </c>
      <c r="B355" s="172"/>
      <c r="C355" s="172"/>
      <c r="D355" s="178"/>
      <c r="E355" s="179"/>
      <c r="F355" s="184"/>
      <c r="G355" s="180">
        <f>G356</f>
        <v>300</v>
      </c>
      <c r="H355" s="181">
        <f>H356</f>
        <v>4790</v>
      </c>
      <c r="I355" s="182">
        <f>I356</f>
        <v>5090</v>
      </c>
      <c r="J355" s="183">
        <f>SUM(J356:J359)</f>
        <v>74.89</v>
      </c>
      <c r="K355" s="181">
        <f>SUM(K356:K359)</f>
        <v>4292.6</v>
      </c>
      <c r="L355" s="182">
        <f>SUM(L356:L359)</f>
        <v>4367.490000000001</v>
      </c>
      <c r="M355" s="180">
        <f>M356</f>
        <v>225.11</v>
      </c>
      <c r="N355" s="181">
        <f>N356</f>
        <v>497.39999999999964</v>
      </c>
      <c r="O355" s="182">
        <f>O356</f>
        <v>722.5099999999996</v>
      </c>
    </row>
    <row r="356" spans="1:15" ht="22.5">
      <c r="A356" s="239" t="s">
        <v>629</v>
      </c>
      <c r="B356" s="281" t="s">
        <v>550</v>
      </c>
      <c r="C356" s="281" t="s">
        <v>688</v>
      </c>
      <c r="D356" s="283"/>
      <c r="E356" s="211"/>
      <c r="F356" s="101" t="s">
        <v>501</v>
      </c>
      <c r="G356" s="250">
        <v>300</v>
      </c>
      <c r="H356" s="254">
        <f>12090-7300</f>
        <v>4790</v>
      </c>
      <c r="I356" s="267">
        <f>SUM(G356:H356)</f>
        <v>5090</v>
      </c>
      <c r="J356" s="12"/>
      <c r="K356" s="13">
        <v>2005.2</v>
      </c>
      <c r="L356" s="21">
        <f>J356+K356</f>
        <v>2005.2</v>
      </c>
      <c r="M356" s="250">
        <f>G355-J355</f>
        <v>225.11</v>
      </c>
      <c r="N356" s="218">
        <f>H355-K355</f>
        <v>497.39999999999964</v>
      </c>
      <c r="O356" s="222">
        <f>SUM(M356:N356)</f>
        <v>722.5099999999996</v>
      </c>
    </row>
    <row r="357" spans="1:15" ht="22.5">
      <c r="A357" s="209"/>
      <c r="B357" s="260"/>
      <c r="C357" s="260"/>
      <c r="D357" s="241"/>
      <c r="E357" s="212"/>
      <c r="F357" s="142" t="s">
        <v>502</v>
      </c>
      <c r="G357" s="251"/>
      <c r="H357" s="255"/>
      <c r="I357" s="285"/>
      <c r="J357" s="15">
        <v>74.89</v>
      </c>
      <c r="K357" s="14"/>
      <c r="L357" s="31">
        <f>J357+K357</f>
        <v>74.89</v>
      </c>
      <c r="M357" s="251"/>
      <c r="N357" s="219"/>
      <c r="O357" s="223"/>
    </row>
    <row r="358" spans="1:15" ht="22.5">
      <c r="A358" s="209"/>
      <c r="B358" s="260"/>
      <c r="C358" s="260"/>
      <c r="D358" s="241"/>
      <c r="E358" s="212"/>
      <c r="F358" s="142" t="s">
        <v>503</v>
      </c>
      <c r="G358" s="252"/>
      <c r="H358" s="256"/>
      <c r="I358" s="285"/>
      <c r="J358" s="15"/>
      <c r="K358" s="14">
        <v>2073.6</v>
      </c>
      <c r="L358" s="31">
        <f>J358+K358</f>
        <v>2073.6</v>
      </c>
      <c r="M358" s="252"/>
      <c r="N358" s="205"/>
      <c r="O358" s="224"/>
    </row>
    <row r="359" spans="1:15" ht="23.25" thickBot="1">
      <c r="A359" s="240"/>
      <c r="B359" s="282"/>
      <c r="C359" s="282"/>
      <c r="D359" s="284"/>
      <c r="E359" s="214"/>
      <c r="F359" s="143" t="s">
        <v>262</v>
      </c>
      <c r="G359" s="253"/>
      <c r="H359" s="257"/>
      <c r="I359" s="268"/>
      <c r="J359" s="83"/>
      <c r="K359" s="152">
        <v>213.8</v>
      </c>
      <c r="L359" s="50">
        <f>J359+K359</f>
        <v>213.8</v>
      </c>
      <c r="M359" s="253"/>
      <c r="N359" s="203"/>
      <c r="O359" s="225"/>
    </row>
    <row r="360" spans="1:15" ht="13.5" thickBot="1">
      <c r="A360" s="171" t="s">
        <v>630</v>
      </c>
      <c r="B360" s="172"/>
      <c r="C360" s="172"/>
      <c r="D360" s="178"/>
      <c r="E360" s="179"/>
      <c r="F360" s="185"/>
      <c r="G360" s="180">
        <f>G361</f>
        <v>1360</v>
      </c>
      <c r="H360" s="181">
        <f>H361</f>
        <v>2000</v>
      </c>
      <c r="I360" s="182">
        <f>I361</f>
        <v>3360</v>
      </c>
      <c r="J360" s="183">
        <f>SUM(J361:J370)</f>
        <v>1277.98</v>
      </c>
      <c r="K360" s="181">
        <f>SUM(K361:K370)</f>
        <v>1670.32</v>
      </c>
      <c r="L360" s="182">
        <f>SUM(L361:L370)</f>
        <v>2948.3</v>
      </c>
      <c r="M360" s="180">
        <f>M361</f>
        <v>82.01999999999998</v>
      </c>
      <c r="N360" s="181">
        <f>N361</f>
        <v>329.68000000000006</v>
      </c>
      <c r="O360" s="182">
        <f>O361</f>
        <v>411.70000000000005</v>
      </c>
    </row>
    <row r="361" spans="1:15" ht="33.75">
      <c r="A361" s="307" t="s">
        <v>631</v>
      </c>
      <c r="B361" s="281" t="s">
        <v>550</v>
      </c>
      <c r="C361" s="281" t="s">
        <v>632</v>
      </c>
      <c r="D361" s="283"/>
      <c r="E361" s="211"/>
      <c r="F361" s="101" t="s">
        <v>633</v>
      </c>
      <c r="G361" s="250">
        <v>1360</v>
      </c>
      <c r="H361" s="254">
        <v>2000</v>
      </c>
      <c r="I361" s="267">
        <f>SUM(G361:H361)</f>
        <v>3360</v>
      </c>
      <c r="J361" s="12">
        <v>19.98</v>
      </c>
      <c r="K361" s="13"/>
      <c r="L361" s="21">
        <f aca="true" t="shared" si="35" ref="L361:L370">J361+K361</f>
        <v>19.98</v>
      </c>
      <c r="M361" s="250">
        <f>G360-J360</f>
        <v>82.01999999999998</v>
      </c>
      <c r="N361" s="254">
        <f>H360-K360</f>
        <v>329.68000000000006</v>
      </c>
      <c r="O361" s="222">
        <f>SUM(M361:N361)</f>
        <v>411.70000000000005</v>
      </c>
    </row>
    <row r="362" spans="1:15" ht="22.5">
      <c r="A362" s="308"/>
      <c r="B362" s="260"/>
      <c r="C362" s="260"/>
      <c r="D362" s="241"/>
      <c r="E362" s="212"/>
      <c r="F362" s="142" t="s">
        <v>504</v>
      </c>
      <c r="G362" s="251"/>
      <c r="H362" s="255"/>
      <c r="I362" s="285"/>
      <c r="J362" s="15">
        <v>117.14</v>
      </c>
      <c r="K362" s="14"/>
      <c r="L362" s="31">
        <f t="shared" si="35"/>
        <v>117.14</v>
      </c>
      <c r="M362" s="251"/>
      <c r="N362" s="255"/>
      <c r="O362" s="223"/>
    </row>
    <row r="363" spans="1:15" ht="22.5">
      <c r="A363" s="308"/>
      <c r="B363" s="260"/>
      <c r="C363" s="260"/>
      <c r="D363" s="241"/>
      <c r="E363" s="212"/>
      <c r="F363" s="142" t="s">
        <v>505</v>
      </c>
      <c r="G363" s="251"/>
      <c r="H363" s="255"/>
      <c r="I363" s="285"/>
      <c r="J363" s="15">
        <v>405</v>
      </c>
      <c r="K363" s="14"/>
      <c r="L363" s="31">
        <f t="shared" si="35"/>
        <v>405</v>
      </c>
      <c r="M363" s="251"/>
      <c r="N363" s="255"/>
      <c r="O363" s="223"/>
    </row>
    <row r="364" spans="1:15" ht="22.5">
      <c r="A364" s="308"/>
      <c r="B364" s="260"/>
      <c r="C364" s="260"/>
      <c r="D364" s="241"/>
      <c r="E364" s="212"/>
      <c r="F364" s="142" t="s">
        <v>634</v>
      </c>
      <c r="G364" s="251"/>
      <c r="H364" s="255"/>
      <c r="I364" s="285"/>
      <c r="J364" s="15">
        <v>20</v>
      </c>
      <c r="K364" s="14"/>
      <c r="L364" s="31">
        <f t="shared" si="35"/>
        <v>20</v>
      </c>
      <c r="M364" s="251"/>
      <c r="N364" s="255"/>
      <c r="O364" s="223"/>
    </row>
    <row r="365" spans="1:15" ht="33.75">
      <c r="A365" s="308"/>
      <c r="B365" s="260"/>
      <c r="C365" s="260"/>
      <c r="D365" s="241"/>
      <c r="E365" s="212"/>
      <c r="F365" s="142" t="s">
        <v>506</v>
      </c>
      <c r="G365" s="251"/>
      <c r="H365" s="255"/>
      <c r="I365" s="285"/>
      <c r="J365" s="15"/>
      <c r="K365" s="14">
        <v>502</v>
      </c>
      <c r="L365" s="31">
        <f t="shared" si="35"/>
        <v>502</v>
      </c>
      <c r="M365" s="251"/>
      <c r="N365" s="255"/>
      <c r="O365" s="223"/>
    </row>
    <row r="366" spans="1:15" ht="22.5">
      <c r="A366" s="308"/>
      <c r="B366" s="260"/>
      <c r="C366" s="260"/>
      <c r="D366" s="241"/>
      <c r="E366" s="212"/>
      <c r="F366" s="142" t="s">
        <v>507</v>
      </c>
      <c r="G366" s="251"/>
      <c r="H366" s="255"/>
      <c r="I366" s="285"/>
      <c r="J366" s="15"/>
      <c r="K366" s="14">
        <v>924.96</v>
      </c>
      <c r="L366" s="31">
        <f t="shared" si="35"/>
        <v>924.96</v>
      </c>
      <c r="M366" s="251"/>
      <c r="N366" s="255"/>
      <c r="O366" s="223"/>
    </row>
    <row r="367" spans="1:15" ht="22.5">
      <c r="A367" s="308"/>
      <c r="B367" s="260"/>
      <c r="C367" s="260"/>
      <c r="D367" s="241"/>
      <c r="E367" s="212"/>
      <c r="F367" s="142" t="s">
        <v>508</v>
      </c>
      <c r="G367" s="252"/>
      <c r="H367" s="256"/>
      <c r="I367" s="285"/>
      <c r="J367" s="18">
        <v>715.86</v>
      </c>
      <c r="K367" s="19"/>
      <c r="L367" s="31">
        <f t="shared" si="35"/>
        <v>715.86</v>
      </c>
      <c r="M367" s="252"/>
      <c r="N367" s="256"/>
      <c r="O367" s="224"/>
    </row>
    <row r="368" spans="1:15" ht="22.5">
      <c r="A368" s="308"/>
      <c r="B368" s="260"/>
      <c r="C368" s="260"/>
      <c r="D368" s="241"/>
      <c r="E368" s="212"/>
      <c r="F368" s="142" t="s">
        <v>263</v>
      </c>
      <c r="G368" s="252"/>
      <c r="H368" s="256"/>
      <c r="I368" s="285"/>
      <c r="J368" s="15"/>
      <c r="K368" s="93">
        <v>76.5</v>
      </c>
      <c r="L368" s="31">
        <f t="shared" si="35"/>
        <v>76.5</v>
      </c>
      <c r="M368" s="252"/>
      <c r="N368" s="256"/>
      <c r="O368" s="224"/>
    </row>
    <row r="369" spans="1:15" ht="22.5">
      <c r="A369" s="308"/>
      <c r="B369" s="260"/>
      <c r="C369" s="260"/>
      <c r="D369" s="241"/>
      <c r="E369" s="212"/>
      <c r="F369" s="142" t="s">
        <v>275</v>
      </c>
      <c r="G369" s="252"/>
      <c r="H369" s="256"/>
      <c r="I369" s="285"/>
      <c r="J369" s="16"/>
      <c r="K369" s="153">
        <v>67.58</v>
      </c>
      <c r="L369" s="30">
        <f t="shared" si="35"/>
        <v>67.58</v>
      </c>
      <c r="M369" s="252"/>
      <c r="N369" s="256"/>
      <c r="O369" s="224"/>
    </row>
    <row r="370" spans="1:15" ht="23.25" thickBot="1">
      <c r="A370" s="309"/>
      <c r="B370" s="282"/>
      <c r="C370" s="282"/>
      <c r="D370" s="284"/>
      <c r="E370" s="214"/>
      <c r="F370" s="143" t="s">
        <v>276</v>
      </c>
      <c r="G370" s="253"/>
      <c r="H370" s="257"/>
      <c r="I370" s="268"/>
      <c r="J370" s="83"/>
      <c r="K370" s="152">
        <v>99.28</v>
      </c>
      <c r="L370" s="50">
        <f t="shared" si="35"/>
        <v>99.28</v>
      </c>
      <c r="M370" s="253"/>
      <c r="N370" s="257"/>
      <c r="O370" s="225"/>
    </row>
    <row r="371" spans="1:15" ht="13.5" thickBot="1">
      <c r="A371" s="171" t="s">
        <v>635</v>
      </c>
      <c r="B371" s="172"/>
      <c r="C371" s="172"/>
      <c r="D371" s="178"/>
      <c r="E371" s="179"/>
      <c r="F371" s="185"/>
      <c r="G371" s="180">
        <f aca="true" t="shared" si="36" ref="G371:O371">G372</f>
        <v>1300</v>
      </c>
      <c r="H371" s="181">
        <f t="shared" si="36"/>
        <v>0</v>
      </c>
      <c r="I371" s="182">
        <f t="shared" si="36"/>
        <v>1300</v>
      </c>
      <c r="J371" s="183">
        <f t="shared" si="36"/>
        <v>1290</v>
      </c>
      <c r="K371" s="181">
        <f t="shared" si="36"/>
        <v>0</v>
      </c>
      <c r="L371" s="182">
        <f t="shared" si="36"/>
        <v>1290</v>
      </c>
      <c r="M371" s="180">
        <f t="shared" si="36"/>
        <v>10</v>
      </c>
      <c r="N371" s="181">
        <f t="shared" si="36"/>
        <v>0</v>
      </c>
      <c r="O371" s="182">
        <f t="shared" si="36"/>
        <v>10</v>
      </c>
    </row>
    <row r="372" spans="1:15" ht="48.75" customHeight="1" thickBot="1">
      <c r="A372" s="75" t="s">
        <v>636</v>
      </c>
      <c r="B372" s="76" t="s">
        <v>550</v>
      </c>
      <c r="C372" s="76" t="s">
        <v>689</v>
      </c>
      <c r="D372" s="77"/>
      <c r="E372" s="78"/>
      <c r="F372" s="99" t="s">
        <v>509</v>
      </c>
      <c r="G372" s="42">
        <v>1300</v>
      </c>
      <c r="H372" s="38"/>
      <c r="I372" s="94">
        <f>SUM(G372:H372)</f>
        <v>1300</v>
      </c>
      <c r="J372" s="37">
        <v>1290</v>
      </c>
      <c r="K372" s="38"/>
      <c r="L372" s="39">
        <f>J372+K372</f>
        <v>1290</v>
      </c>
      <c r="M372" s="42">
        <f>G371-J371</f>
        <v>10</v>
      </c>
      <c r="N372" s="201">
        <f>H371-K371</f>
        <v>0</v>
      </c>
      <c r="O372" s="39">
        <f>SUM(M372:N372)</f>
        <v>10</v>
      </c>
    </row>
    <row r="373" spans="1:15" ht="13.5" thickBot="1">
      <c r="A373" s="171" t="s">
        <v>637</v>
      </c>
      <c r="B373" s="172"/>
      <c r="C373" s="172"/>
      <c r="D373" s="178"/>
      <c r="E373" s="179"/>
      <c r="F373" s="184"/>
      <c r="G373" s="180">
        <f>G374</f>
        <v>0</v>
      </c>
      <c r="H373" s="181">
        <f>H374</f>
        <v>5000</v>
      </c>
      <c r="I373" s="182">
        <f>I374</f>
        <v>5000</v>
      </c>
      <c r="J373" s="183">
        <f>SUM(J374:J376)</f>
        <v>0</v>
      </c>
      <c r="K373" s="181">
        <f>SUM(K374:K376)</f>
        <v>3084.8700000000003</v>
      </c>
      <c r="L373" s="182">
        <f>SUM(L374:L376)</f>
        <v>3084.8700000000003</v>
      </c>
      <c r="M373" s="180">
        <f>M374</f>
        <v>0</v>
      </c>
      <c r="N373" s="181">
        <f>N374</f>
        <v>1915.1299999999997</v>
      </c>
      <c r="O373" s="182">
        <f>O374</f>
        <v>1915.1299999999997</v>
      </c>
    </row>
    <row r="374" spans="1:15" ht="22.5">
      <c r="A374" s="239" t="s">
        <v>638</v>
      </c>
      <c r="B374" s="281" t="s">
        <v>550</v>
      </c>
      <c r="C374" s="281" t="s">
        <v>578</v>
      </c>
      <c r="D374" s="283"/>
      <c r="E374" s="211"/>
      <c r="F374" s="101" t="s">
        <v>510</v>
      </c>
      <c r="G374" s="250"/>
      <c r="H374" s="254">
        <v>5000</v>
      </c>
      <c r="I374" s="267">
        <f>SUM(G374:H374)</f>
        <v>5000</v>
      </c>
      <c r="J374" s="12"/>
      <c r="K374" s="13">
        <v>298.47</v>
      </c>
      <c r="L374" s="21">
        <f>J374+K374</f>
        <v>298.47</v>
      </c>
      <c r="M374" s="250">
        <f>G373-J373</f>
        <v>0</v>
      </c>
      <c r="N374" s="254">
        <f>H373-K373</f>
        <v>1915.1299999999997</v>
      </c>
      <c r="O374" s="222">
        <f>SUM(M374:N374)</f>
        <v>1915.1299999999997</v>
      </c>
    </row>
    <row r="375" spans="1:15" ht="22.5">
      <c r="A375" s="209"/>
      <c r="B375" s="260"/>
      <c r="C375" s="260"/>
      <c r="D375" s="241"/>
      <c r="E375" s="212"/>
      <c r="F375" s="142" t="s">
        <v>513</v>
      </c>
      <c r="G375" s="249"/>
      <c r="H375" s="286"/>
      <c r="I375" s="285"/>
      <c r="J375" s="15"/>
      <c r="K375" s="14">
        <v>1980</v>
      </c>
      <c r="L375" s="31">
        <f>J375+K375</f>
        <v>1980</v>
      </c>
      <c r="M375" s="249"/>
      <c r="N375" s="286"/>
      <c r="O375" s="285"/>
    </row>
    <row r="376" spans="1:15" ht="23.25" thickBot="1">
      <c r="A376" s="240"/>
      <c r="B376" s="282"/>
      <c r="C376" s="282"/>
      <c r="D376" s="284"/>
      <c r="E376" s="214"/>
      <c r="F376" s="143" t="s">
        <v>867</v>
      </c>
      <c r="G376" s="253"/>
      <c r="H376" s="257"/>
      <c r="I376" s="268"/>
      <c r="J376" s="83"/>
      <c r="K376" s="82">
        <v>806.4</v>
      </c>
      <c r="L376" s="50">
        <f>J376+K376</f>
        <v>806.4</v>
      </c>
      <c r="M376" s="253"/>
      <c r="N376" s="257"/>
      <c r="O376" s="225"/>
    </row>
    <row r="377" spans="1:15" ht="13.5" thickBot="1">
      <c r="A377" s="171" t="s">
        <v>639</v>
      </c>
      <c r="B377" s="172"/>
      <c r="C377" s="172"/>
      <c r="D377" s="178"/>
      <c r="E377" s="179"/>
      <c r="F377" s="185"/>
      <c r="G377" s="180">
        <f aca="true" t="shared" si="37" ref="G377:O377">G378</f>
        <v>240</v>
      </c>
      <c r="H377" s="181">
        <f t="shared" si="37"/>
        <v>0</v>
      </c>
      <c r="I377" s="182">
        <f t="shared" si="37"/>
        <v>240</v>
      </c>
      <c r="J377" s="183">
        <f t="shared" si="37"/>
        <v>32</v>
      </c>
      <c r="K377" s="181">
        <f t="shared" si="37"/>
        <v>0</v>
      </c>
      <c r="L377" s="182">
        <f t="shared" si="37"/>
        <v>32</v>
      </c>
      <c r="M377" s="180">
        <f t="shared" si="37"/>
        <v>208</v>
      </c>
      <c r="N377" s="181">
        <f t="shared" si="37"/>
        <v>0</v>
      </c>
      <c r="O377" s="182">
        <f t="shared" si="37"/>
        <v>208</v>
      </c>
    </row>
    <row r="378" spans="1:15" ht="23.25" thickBot="1">
      <c r="A378" s="75" t="s">
        <v>640</v>
      </c>
      <c r="B378" s="76" t="s">
        <v>550</v>
      </c>
      <c r="C378" s="76" t="s">
        <v>690</v>
      </c>
      <c r="D378" s="77"/>
      <c r="E378" s="78"/>
      <c r="F378" s="99" t="s">
        <v>801</v>
      </c>
      <c r="G378" s="42">
        <v>240</v>
      </c>
      <c r="H378" s="38"/>
      <c r="I378" s="94">
        <f>SUM(G378:H378)</f>
        <v>240</v>
      </c>
      <c r="J378" s="37">
        <v>32</v>
      </c>
      <c r="K378" s="38"/>
      <c r="L378" s="39">
        <f>J378+K378</f>
        <v>32</v>
      </c>
      <c r="M378" s="42">
        <f>G377-J377</f>
        <v>208</v>
      </c>
      <c r="N378" s="201">
        <f>H377-K377</f>
        <v>0</v>
      </c>
      <c r="O378" s="39">
        <f>SUM(M378:N378)</f>
        <v>208</v>
      </c>
    </row>
    <row r="379" spans="1:15" ht="13.5" thickBot="1">
      <c r="A379" s="171" t="s">
        <v>641</v>
      </c>
      <c r="B379" s="172"/>
      <c r="C379" s="172"/>
      <c r="D379" s="178"/>
      <c r="E379" s="179"/>
      <c r="F379" s="179"/>
      <c r="G379" s="180">
        <f aca="true" t="shared" si="38" ref="G379:O379">G380</f>
        <v>0</v>
      </c>
      <c r="H379" s="181">
        <f t="shared" si="38"/>
        <v>5200</v>
      </c>
      <c r="I379" s="182">
        <f t="shared" si="38"/>
        <v>5200</v>
      </c>
      <c r="J379" s="183">
        <f t="shared" si="38"/>
        <v>0</v>
      </c>
      <c r="K379" s="181">
        <f t="shared" si="38"/>
        <v>183.6</v>
      </c>
      <c r="L379" s="182">
        <f t="shared" si="38"/>
        <v>183.6</v>
      </c>
      <c r="M379" s="180">
        <f t="shared" si="38"/>
        <v>0</v>
      </c>
      <c r="N379" s="181">
        <f t="shared" si="38"/>
        <v>5016.4</v>
      </c>
      <c r="O379" s="182">
        <f t="shared" si="38"/>
        <v>5016.4</v>
      </c>
    </row>
    <row r="380" spans="1:15" ht="23.25" thickBot="1">
      <c r="A380" s="75" t="s">
        <v>642</v>
      </c>
      <c r="B380" s="76" t="s">
        <v>550</v>
      </c>
      <c r="C380" s="76" t="s">
        <v>643</v>
      </c>
      <c r="D380" s="77"/>
      <c r="E380" s="78"/>
      <c r="F380" s="99" t="s">
        <v>514</v>
      </c>
      <c r="G380" s="42"/>
      <c r="H380" s="38">
        <v>5200</v>
      </c>
      <c r="I380" s="94">
        <f>SUM(G380:H380)</f>
        <v>5200</v>
      </c>
      <c r="J380" s="37"/>
      <c r="K380" s="38">
        <v>183.6</v>
      </c>
      <c r="L380" s="39">
        <f>J380+K380</f>
        <v>183.6</v>
      </c>
      <c r="M380" s="42">
        <f>G379-J379</f>
        <v>0</v>
      </c>
      <c r="N380" s="38">
        <f>H379-K379</f>
        <v>5016.4</v>
      </c>
      <c r="O380" s="39">
        <f>SUM(M380:N380)</f>
        <v>5016.4</v>
      </c>
    </row>
    <row r="381" spans="1:15" ht="13.5" thickBot="1">
      <c r="A381" s="171" t="s">
        <v>644</v>
      </c>
      <c r="B381" s="172"/>
      <c r="C381" s="172"/>
      <c r="D381" s="178"/>
      <c r="E381" s="179"/>
      <c r="F381" s="179"/>
      <c r="G381" s="180">
        <f aca="true" t="shared" si="39" ref="G381:O381">G382</f>
        <v>0</v>
      </c>
      <c r="H381" s="181">
        <f t="shared" si="39"/>
        <v>5000</v>
      </c>
      <c r="I381" s="182">
        <f t="shared" si="39"/>
        <v>5000</v>
      </c>
      <c r="J381" s="183">
        <f t="shared" si="39"/>
        <v>0</v>
      </c>
      <c r="K381" s="181">
        <f t="shared" si="39"/>
        <v>2799.92</v>
      </c>
      <c r="L381" s="182">
        <f t="shared" si="39"/>
        <v>2799.92</v>
      </c>
      <c r="M381" s="180">
        <f t="shared" si="39"/>
        <v>0</v>
      </c>
      <c r="N381" s="181">
        <f t="shared" si="39"/>
        <v>2200.08</v>
      </c>
      <c r="O381" s="182">
        <f t="shared" si="39"/>
        <v>2200.08</v>
      </c>
    </row>
    <row r="382" spans="1:15" ht="23.25" thickBot="1">
      <c r="A382" s="71" t="s">
        <v>645</v>
      </c>
      <c r="B382" s="68" t="s">
        <v>550</v>
      </c>
      <c r="C382" s="68" t="s">
        <v>578</v>
      </c>
      <c r="D382" s="69"/>
      <c r="E382" s="70"/>
      <c r="F382" s="90" t="s">
        <v>515</v>
      </c>
      <c r="G382" s="42"/>
      <c r="H382" s="38">
        <v>5000</v>
      </c>
      <c r="I382" s="94">
        <f>SUM(G382:H382)</f>
        <v>5000</v>
      </c>
      <c r="J382" s="37"/>
      <c r="K382" s="38">
        <v>2799.92</v>
      </c>
      <c r="L382" s="39">
        <f>J382+K382</f>
        <v>2799.92</v>
      </c>
      <c r="M382" s="42">
        <f>G381-J381</f>
        <v>0</v>
      </c>
      <c r="N382" s="38">
        <f>H381-K381</f>
        <v>2200.08</v>
      </c>
      <c r="O382" s="39">
        <f>SUM(M382:N382)</f>
        <v>2200.08</v>
      </c>
    </row>
    <row r="383" spans="1:15" ht="13.5" thickBot="1">
      <c r="A383" s="171" t="s">
        <v>646</v>
      </c>
      <c r="B383" s="172"/>
      <c r="C383" s="172"/>
      <c r="D383" s="178"/>
      <c r="E383" s="179"/>
      <c r="F383" s="184"/>
      <c r="G383" s="180">
        <f>G384</f>
        <v>14</v>
      </c>
      <c r="H383" s="181">
        <f>H384</f>
        <v>2500</v>
      </c>
      <c r="I383" s="182">
        <f>I384</f>
        <v>2514</v>
      </c>
      <c r="J383" s="183">
        <f>SUM(J384:J385)</f>
        <v>12</v>
      </c>
      <c r="K383" s="183">
        <f>SUM(K384:K385)</f>
        <v>43.8</v>
      </c>
      <c r="L383" s="187">
        <f>SUM(L384:L385)</f>
        <v>55.8</v>
      </c>
      <c r="M383" s="180">
        <f>M384</f>
        <v>2</v>
      </c>
      <c r="N383" s="181">
        <f>N384</f>
        <v>2456.2</v>
      </c>
      <c r="O383" s="182">
        <f>O384</f>
        <v>2458.2</v>
      </c>
    </row>
    <row r="384" spans="1:15" ht="48" customHeight="1">
      <c r="A384" s="273" t="s">
        <v>647</v>
      </c>
      <c r="B384" s="281" t="s">
        <v>550</v>
      </c>
      <c r="C384" s="281" t="s">
        <v>724</v>
      </c>
      <c r="D384" s="283"/>
      <c r="E384" s="277"/>
      <c r="F384" s="101" t="s">
        <v>516</v>
      </c>
      <c r="G384" s="246">
        <f>420-406</f>
        <v>14</v>
      </c>
      <c r="H384" s="265">
        <v>2500</v>
      </c>
      <c r="I384" s="267">
        <f>SUM(G384:H384)</f>
        <v>2514</v>
      </c>
      <c r="J384" s="12">
        <v>12</v>
      </c>
      <c r="K384" s="13"/>
      <c r="L384" s="21">
        <f>J384+K384</f>
        <v>12</v>
      </c>
      <c r="M384" s="263">
        <f>G383-J383</f>
        <v>2</v>
      </c>
      <c r="N384" s="265">
        <f>H383-K383</f>
        <v>2456.2</v>
      </c>
      <c r="O384" s="267">
        <f>SUM(M384:N384)</f>
        <v>2458.2</v>
      </c>
    </row>
    <row r="385" spans="1:15" ht="27.75" customHeight="1" thickBot="1">
      <c r="A385" s="274"/>
      <c r="B385" s="282"/>
      <c r="C385" s="282"/>
      <c r="D385" s="284"/>
      <c r="E385" s="278"/>
      <c r="F385" s="143" t="s">
        <v>277</v>
      </c>
      <c r="G385" s="247"/>
      <c r="H385" s="266"/>
      <c r="I385" s="268"/>
      <c r="J385" s="83"/>
      <c r="K385" s="152">
        <v>43.8</v>
      </c>
      <c r="L385" s="46">
        <f>J385+K385</f>
        <v>43.8</v>
      </c>
      <c r="M385" s="204"/>
      <c r="N385" s="266"/>
      <c r="O385" s="268"/>
    </row>
    <row r="386" spans="1:15" ht="13.5" thickBot="1">
      <c r="A386" s="171" t="s">
        <v>648</v>
      </c>
      <c r="B386" s="172"/>
      <c r="C386" s="172"/>
      <c r="D386" s="178"/>
      <c r="E386" s="179"/>
      <c r="F386" s="185"/>
      <c r="G386" s="180">
        <f aca="true" t="shared" si="40" ref="G386:O386">G387</f>
        <v>0</v>
      </c>
      <c r="H386" s="181">
        <f t="shared" si="40"/>
        <v>500</v>
      </c>
      <c r="I386" s="182">
        <f t="shared" si="40"/>
        <v>500</v>
      </c>
      <c r="J386" s="183">
        <f t="shared" si="40"/>
        <v>0</v>
      </c>
      <c r="K386" s="181">
        <f t="shared" si="40"/>
        <v>220</v>
      </c>
      <c r="L386" s="182">
        <f t="shared" si="40"/>
        <v>220</v>
      </c>
      <c r="M386" s="188">
        <f t="shared" si="40"/>
        <v>0</v>
      </c>
      <c r="N386" s="181">
        <f t="shared" si="40"/>
        <v>280</v>
      </c>
      <c r="O386" s="182">
        <f t="shared" si="40"/>
        <v>280</v>
      </c>
    </row>
    <row r="387" spans="1:15" ht="24.75" thickBot="1">
      <c r="A387" s="75" t="s">
        <v>649</v>
      </c>
      <c r="B387" s="76" t="s">
        <v>550</v>
      </c>
      <c r="C387" s="76" t="s">
        <v>682</v>
      </c>
      <c r="D387" s="77"/>
      <c r="E387" s="78"/>
      <c r="F387" s="99" t="s">
        <v>517</v>
      </c>
      <c r="G387" s="42"/>
      <c r="H387" s="38">
        <f>10000-9500</f>
        <v>500</v>
      </c>
      <c r="I387" s="94">
        <f>SUM(G387:H387)</f>
        <v>500</v>
      </c>
      <c r="J387" s="37"/>
      <c r="K387" s="38">
        <v>220</v>
      </c>
      <c r="L387" s="39">
        <f>J387+K387</f>
        <v>220</v>
      </c>
      <c r="M387" s="42">
        <f>G386-J386</f>
        <v>0</v>
      </c>
      <c r="N387" s="201">
        <f>H386-K386</f>
        <v>280</v>
      </c>
      <c r="O387" s="39">
        <f>SUM(M387:N387)</f>
        <v>280</v>
      </c>
    </row>
    <row r="388" spans="1:15" ht="13.5" thickBot="1">
      <c r="A388" s="171" t="s">
        <v>650</v>
      </c>
      <c r="B388" s="172"/>
      <c r="C388" s="172"/>
      <c r="D388" s="178"/>
      <c r="E388" s="179"/>
      <c r="F388" s="184"/>
      <c r="G388" s="180">
        <f>G389</f>
        <v>0</v>
      </c>
      <c r="H388" s="181">
        <f>H389</f>
        <v>8400</v>
      </c>
      <c r="I388" s="182">
        <f>I389</f>
        <v>8400</v>
      </c>
      <c r="J388" s="183">
        <f>SUM(J389:J392)</f>
        <v>0</v>
      </c>
      <c r="K388" s="181">
        <f>SUM(K389:K392)</f>
        <v>8361.6</v>
      </c>
      <c r="L388" s="182">
        <f>SUM(L389:L392)</f>
        <v>8361.6</v>
      </c>
      <c r="M388" s="180">
        <f>M389</f>
        <v>0</v>
      </c>
      <c r="N388" s="181">
        <f>N389</f>
        <v>38.399999999999636</v>
      </c>
      <c r="O388" s="182">
        <f>O389</f>
        <v>38.399999999999636</v>
      </c>
    </row>
    <row r="389" spans="1:15" ht="22.5">
      <c r="A389" s="239" t="s">
        <v>651</v>
      </c>
      <c r="B389" s="281" t="s">
        <v>550</v>
      </c>
      <c r="C389" s="281" t="s">
        <v>865</v>
      </c>
      <c r="D389" s="283"/>
      <c r="E389" s="211"/>
      <c r="F389" s="101" t="s">
        <v>802</v>
      </c>
      <c r="G389" s="250"/>
      <c r="H389" s="229">
        <f>5500+2900</f>
        <v>8400</v>
      </c>
      <c r="I389" s="267">
        <f>SUM(G389:H389)</f>
        <v>8400</v>
      </c>
      <c r="J389" s="12"/>
      <c r="K389" s="13">
        <v>873.6</v>
      </c>
      <c r="L389" s="21">
        <f>J389+K389</f>
        <v>873.6</v>
      </c>
      <c r="M389" s="250">
        <f>G388-J388</f>
        <v>0</v>
      </c>
      <c r="N389" s="254">
        <f>H388-K388</f>
        <v>38.399999999999636</v>
      </c>
      <c r="O389" s="222">
        <f>SUM(M389:N389)</f>
        <v>38.399999999999636</v>
      </c>
    </row>
    <row r="390" spans="1:15" ht="33.75">
      <c r="A390" s="209"/>
      <c r="B390" s="260"/>
      <c r="C390" s="260"/>
      <c r="D390" s="241"/>
      <c r="E390" s="212"/>
      <c r="F390" s="142" t="s">
        <v>803</v>
      </c>
      <c r="G390" s="251"/>
      <c r="H390" s="231"/>
      <c r="I390" s="285"/>
      <c r="J390" s="15"/>
      <c r="K390" s="14">
        <v>2184</v>
      </c>
      <c r="L390" s="31">
        <f>J390+K390</f>
        <v>2184</v>
      </c>
      <c r="M390" s="251"/>
      <c r="N390" s="255"/>
      <c r="O390" s="223"/>
    </row>
    <row r="391" spans="1:15" ht="33.75">
      <c r="A391" s="209"/>
      <c r="B391" s="260"/>
      <c r="C391" s="260"/>
      <c r="D391" s="241"/>
      <c r="E391" s="212"/>
      <c r="F391" s="142" t="s">
        <v>829</v>
      </c>
      <c r="G391" s="252"/>
      <c r="H391" s="232"/>
      <c r="I391" s="285"/>
      <c r="J391" s="15"/>
      <c r="K391" s="14">
        <v>2184</v>
      </c>
      <c r="L391" s="31">
        <f>J391+K391</f>
        <v>2184</v>
      </c>
      <c r="M391" s="252"/>
      <c r="N391" s="256"/>
      <c r="O391" s="224"/>
    </row>
    <row r="392" spans="1:15" ht="23.25" thickBot="1">
      <c r="A392" s="240"/>
      <c r="B392" s="282"/>
      <c r="C392" s="282"/>
      <c r="D392" s="284"/>
      <c r="E392" s="214"/>
      <c r="F392" s="143" t="s">
        <v>864</v>
      </c>
      <c r="G392" s="253"/>
      <c r="H392" s="230"/>
      <c r="I392" s="268"/>
      <c r="J392" s="83"/>
      <c r="K392" s="152">
        <v>3120</v>
      </c>
      <c r="L392" s="50">
        <f>J392+K392</f>
        <v>3120</v>
      </c>
      <c r="M392" s="253"/>
      <c r="N392" s="257"/>
      <c r="O392" s="225"/>
    </row>
    <row r="393" spans="1:15" ht="13.5" thickBot="1">
      <c r="A393" s="171" t="s">
        <v>653</v>
      </c>
      <c r="B393" s="172"/>
      <c r="C393" s="172"/>
      <c r="D393" s="178"/>
      <c r="E393" s="179"/>
      <c r="F393" s="186"/>
      <c r="G393" s="180">
        <f>G394</f>
        <v>0</v>
      </c>
      <c r="H393" s="181">
        <f>H394</f>
        <v>3500</v>
      </c>
      <c r="I393" s="182">
        <f>I394</f>
        <v>3500</v>
      </c>
      <c r="J393" s="183">
        <f>SUM(J394:J395)</f>
        <v>0</v>
      </c>
      <c r="K393" s="183">
        <f>SUM(K394:K395)</f>
        <v>930.51</v>
      </c>
      <c r="L393" s="187">
        <f>SUM(L394:L395)</f>
        <v>930.51</v>
      </c>
      <c r="M393" s="180">
        <f>M395</f>
        <v>0</v>
      </c>
      <c r="N393" s="181">
        <f>N395</f>
        <v>0</v>
      </c>
      <c r="O393" s="182">
        <f>O395</f>
        <v>0</v>
      </c>
    </row>
    <row r="394" spans="1:15" ht="39" customHeight="1">
      <c r="A394" s="273" t="s">
        <v>654</v>
      </c>
      <c r="B394" s="281" t="s">
        <v>550</v>
      </c>
      <c r="C394" s="281" t="s">
        <v>655</v>
      </c>
      <c r="D394" s="283"/>
      <c r="E394" s="277"/>
      <c r="F394" s="101" t="s">
        <v>278</v>
      </c>
      <c r="G394" s="246"/>
      <c r="H394" s="265">
        <v>3500</v>
      </c>
      <c r="I394" s="267">
        <f>SUM(G394:H394)</f>
        <v>3500</v>
      </c>
      <c r="J394" s="12"/>
      <c r="K394" s="92">
        <v>150.3</v>
      </c>
      <c r="L394" s="21">
        <f>J394+K394</f>
        <v>150.3</v>
      </c>
      <c r="M394" s="263">
        <f>G392-J392</f>
        <v>0</v>
      </c>
      <c r="N394" s="265">
        <f>H393-K393</f>
        <v>2569.49</v>
      </c>
      <c r="O394" s="267">
        <f>SUM(M394:N394)</f>
        <v>2569.49</v>
      </c>
    </row>
    <row r="395" spans="1:15" ht="30" customHeight="1" thickBot="1">
      <c r="A395" s="274"/>
      <c r="B395" s="282"/>
      <c r="C395" s="282"/>
      <c r="D395" s="284"/>
      <c r="E395" s="278"/>
      <c r="F395" s="143" t="s">
        <v>279</v>
      </c>
      <c r="G395" s="247"/>
      <c r="H395" s="266"/>
      <c r="I395" s="268"/>
      <c r="J395" s="83"/>
      <c r="K395" s="152">
        <v>780.21</v>
      </c>
      <c r="L395" s="50">
        <f>J395+K395</f>
        <v>780.21</v>
      </c>
      <c r="M395" s="264"/>
      <c r="N395" s="266"/>
      <c r="O395" s="268"/>
    </row>
    <row r="396" spans="1:15" ht="13.5" thickBot="1">
      <c r="A396" s="171" t="s">
        <v>656</v>
      </c>
      <c r="B396" s="172"/>
      <c r="C396" s="172"/>
      <c r="D396" s="178"/>
      <c r="E396" s="179"/>
      <c r="F396" s="185"/>
      <c r="G396" s="180">
        <f>G397</f>
        <v>17648</v>
      </c>
      <c r="H396" s="181">
        <f>H397</f>
        <v>3994</v>
      </c>
      <c r="I396" s="182">
        <f>I397</f>
        <v>21642</v>
      </c>
      <c r="J396" s="183">
        <f>SUM(J397:J402)</f>
        <v>17591.010000000002</v>
      </c>
      <c r="K396" s="181">
        <f>SUM(K397:K402)</f>
        <v>3572.25</v>
      </c>
      <c r="L396" s="182">
        <f>SUM(L397:L402)</f>
        <v>21163.260000000002</v>
      </c>
      <c r="M396" s="180">
        <f>M397</f>
        <v>56.98999999999796</v>
      </c>
      <c r="N396" s="181">
        <f>N397</f>
        <v>421.75</v>
      </c>
      <c r="O396" s="182">
        <f>O397</f>
        <v>478.73999999999796</v>
      </c>
    </row>
    <row r="397" spans="1:15" ht="22.5">
      <c r="A397" s="239" t="s">
        <v>657</v>
      </c>
      <c r="B397" s="281" t="s">
        <v>550</v>
      </c>
      <c r="C397" s="281" t="s">
        <v>691</v>
      </c>
      <c r="D397" s="283"/>
      <c r="E397" s="215"/>
      <c r="F397" s="90" t="s">
        <v>658</v>
      </c>
      <c r="G397" s="250">
        <v>17648</v>
      </c>
      <c r="H397" s="229">
        <f>30165-209-14962-11000</f>
        <v>3994</v>
      </c>
      <c r="I397" s="267">
        <f>SUM(G397:H397)</f>
        <v>21642</v>
      </c>
      <c r="J397" s="12"/>
      <c r="K397" s="13">
        <v>353.25</v>
      </c>
      <c r="L397" s="21">
        <f aca="true" t="shared" si="41" ref="L397:L402">J397+K397</f>
        <v>353.25</v>
      </c>
      <c r="M397" s="250">
        <f>G396-J396</f>
        <v>56.98999999999796</v>
      </c>
      <c r="N397" s="218">
        <f>H396-K396</f>
        <v>421.75</v>
      </c>
      <c r="O397" s="222">
        <f>SUM(M397:N397)</f>
        <v>478.73999999999796</v>
      </c>
    </row>
    <row r="398" spans="1:15" ht="22.5">
      <c r="A398" s="209"/>
      <c r="B398" s="260"/>
      <c r="C398" s="260"/>
      <c r="D398" s="241"/>
      <c r="E398" s="216"/>
      <c r="F398" s="91" t="s">
        <v>519</v>
      </c>
      <c r="G398" s="251"/>
      <c r="H398" s="231"/>
      <c r="I398" s="285"/>
      <c r="J398" s="15"/>
      <c r="K398" s="14">
        <v>3219</v>
      </c>
      <c r="L398" s="31">
        <f t="shared" si="41"/>
        <v>3219</v>
      </c>
      <c r="M398" s="251"/>
      <c r="N398" s="219"/>
      <c r="O398" s="223"/>
    </row>
    <row r="399" spans="1:15" ht="22.5">
      <c r="A399" s="209"/>
      <c r="B399" s="260"/>
      <c r="C399" s="260"/>
      <c r="D399" s="241"/>
      <c r="E399" s="216"/>
      <c r="F399" s="91" t="s">
        <v>518</v>
      </c>
      <c r="G399" s="251"/>
      <c r="H399" s="231"/>
      <c r="I399" s="285"/>
      <c r="J399" s="15">
        <v>1792.57</v>
      </c>
      <c r="K399" s="14"/>
      <c r="L399" s="31">
        <f t="shared" si="41"/>
        <v>1792.57</v>
      </c>
      <c r="M399" s="251"/>
      <c r="N399" s="219"/>
      <c r="O399" s="223"/>
    </row>
    <row r="400" spans="1:15" ht="22.5">
      <c r="A400" s="209"/>
      <c r="B400" s="260"/>
      <c r="C400" s="260"/>
      <c r="D400" s="241"/>
      <c r="E400" s="216"/>
      <c r="F400" s="91" t="s">
        <v>520</v>
      </c>
      <c r="G400" s="251"/>
      <c r="H400" s="231"/>
      <c r="I400" s="285"/>
      <c r="J400" s="15">
        <v>258.06</v>
      </c>
      <c r="K400" s="14"/>
      <c r="L400" s="31">
        <f t="shared" si="41"/>
        <v>258.06</v>
      </c>
      <c r="M400" s="251"/>
      <c r="N400" s="219"/>
      <c r="O400" s="223"/>
    </row>
    <row r="401" spans="1:15" ht="22.5">
      <c r="A401" s="209"/>
      <c r="B401" s="260"/>
      <c r="C401" s="260"/>
      <c r="D401" s="241"/>
      <c r="E401" s="216"/>
      <c r="F401" s="91" t="s">
        <v>521</v>
      </c>
      <c r="G401" s="251"/>
      <c r="H401" s="231"/>
      <c r="I401" s="285"/>
      <c r="J401" s="15">
        <v>2622.4</v>
      </c>
      <c r="K401" s="14"/>
      <c r="L401" s="31">
        <f t="shared" si="41"/>
        <v>2622.4</v>
      </c>
      <c r="M401" s="251"/>
      <c r="N401" s="219"/>
      <c r="O401" s="223"/>
    </row>
    <row r="402" spans="1:15" ht="23.25" thickBot="1">
      <c r="A402" s="240"/>
      <c r="B402" s="282"/>
      <c r="C402" s="282"/>
      <c r="D402" s="284"/>
      <c r="E402" s="217"/>
      <c r="F402" s="74" t="s">
        <v>522</v>
      </c>
      <c r="G402" s="253"/>
      <c r="H402" s="230"/>
      <c r="I402" s="268"/>
      <c r="J402" s="47">
        <v>12917.98</v>
      </c>
      <c r="K402" s="63"/>
      <c r="L402" s="46">
        <f t="shared" si="41"/>
        <v>12917.98</v>
      </c>
      <c r="M402" s="253"/>
      <c r="N402" s="203"/>
      <c r="O402" s="225"/>
    </row>
    <row r="403" spans="1:15" ht="13.5" thickBot="1">
      <c r="A403" s="171" t="s">
        <v>659</v>
      </c>
      <c r="B403" s="172"/>
      <c r="C403" s="172"/>
      <c r="D403" s="178"/>
      <c r="E403" s="179"/>
      <c r="F403" s="184"/>
      <c r="G403" s="180">
        <f>G404</f>
        <v>200</v>
      </c>
      <c r="H403" s="181">
        <f>H404</f>
        <v>1190</v>
      </c>
      <c r="I403" s="182">
        <f>I404</f>
        <v>1390</v>
      </c>
      <c r="J403" s="183">
        <f>SUM(J404:J406)</f>
        <v>200</v>
      </c>
      <c r="K403" s="181">
        <f>SUM(K404:K406)</f>
        <v>511.20000000000005</v>
      </c>
      <c r="L403" s="182">
        <f>SUM(L404:L406)</f>
        <v>711.2</v>
      </c>
      <c r="M403" s="180">
        <f>M404</f>
        <v>0</v>
      </c>
      <c r="N403" s="181">
        <f>N404</f>
        <v>678.8</v>
      </c>
      <c r="O403" s="182">
        <f>O404</f>
        <v>678.8</v>
      </c>
    </row>
    <row r="404" spans="1:15" ht="22.5">
      <c r="A404" s="239" t="s">
        <v>660</v>
      </c>
      <c r="B404" s="281" t="s">
        <v>550</v>
      </c>
      <c r="C404" s="281" t="s">
        <v>661</v>
      </c>
      <c r="D404" s="283"/>
      <c r="E404" s="211"/>
      <c r="F404" s="101" t="s">
        <v>523</v>
      </c>
      <c r="G404" s="250">
        <v>200</v>
      </c>
      <c r="H404" s="254">
        <v>1190</v>
      </c>
      <c r="I404" s="267">
        <f>SUM(G404:H404)</f>
        <v>1390</v>
      </c>
      <c r="J404" s="12"/>
      <c r="K404" s="13">
        <v>183.6</v>
      </c>
      <c r="L404" s="21">
        <f>J404+K404</f>
        <v>183.6</v>
      </c>
      <c r="M404" s="250">
        <f>G403-J403</f>
        <v>0</v>
      </c>
      <c r="N404" s="254">
        <f>H403-K403</f>
        <v>678.8</v>
      </c>
      <c r="O404" s="222">
        <f>SUM(M404:N404)</f>
        <v>678.8</v>
      </c>
    </row>
    <row r="405" spans="1:15" ht="22.5">
      <c r="A405" s="209"/>
      <c r="B405" s="260"/>
      <c r="C405" s="260"/>
      <c r="D405" s="241"/>
      <c r="E405" s="212"/>
      <c r="F405" s="142" t="s">
        <v>662</v>
      </c>
      <c r="G405" s="249"/>
      <c r="H405" s="286"/>
      <c r="I405" s="285"/>
      <c r="J405" s="15">
        <v>200</v>
      </c>
      <c r="K405" s="14"/>
      <c r="L405" s="31">
        <f>J405+K405</f>
        <v>200</v>
      </c>
      <c r="M405" s="249"/>
      <c r="N405" s="286"/>
      <c r="O405" s="285"/>
    </row>
    <row r="406" spans="1:15" ht="23.25" thickBot="1">
      <c r="A406" s="240"/>
      <c r="B406" s="282"/>
      <c r="C406" s="282"/>
      <c r="D406" s="284"/>
      <c r="E406" s="214"/>
      <c r="F406" s="143" t="s">
        <v>866</v>
      </c>
      <c r="G406" s="253"/>
      <c r="H406" s="257"/>
      <c r="I406" s="268"/>
      <c r="J406" s="83"/>
      <c r="K406" s="195">
        <v>327.6</v>
      </c>
      <c r="L406" s="50">
        <f>J406+K406</f>
        <v>327.6</v>
      </c>
      <c r="M406" s="253"/>
      <c r="N406" s="257"/>
      <c r="O406" s="225"/>
    </row>
    <row r="407" spans="1:15" ht="13.5" thickBot="1">
      <c r="A407" s="171" t="s">
        <v>663</v>
      </c>
      <c r="B407" s="172"/>
      <c r="C407" s="172"/>
      <c r="D407" s="178"/>
      <c r="E407" s="179"/>
      <c r="F407" s="185"/>
      <c r="G407" s="180">
        <f>G408</f>
        <v>0</v>
      </c>
      <c r="H407" s="181">
        <f>H408</f>
        <v>33855</v>
      </c>
      <c r="I407" s="182">
        <f>I408</f>
        <v>33855</v>
      </c>
      <c r="J407" s="183">
        <f>SUM(J408:J411)</f>
        <v>0</v>
      </c>
      <c r="K407" s="181">
        <f>SUM(K408:K411)</f>
        <v>33755.4</v>
      </c>
      <c r="L407" s="182">
        <f>SUM(L408:L411)</f>
        <v>33755.4</v>
      </c>
      <c r="M407" s="180">
        <f>M408</f>
        <v>0</v>
      </c>
      <c r="N407" s="181">
        <f>N408</f>
        <v>99.59999999999854</v>
      </c>
      <c r="O407" s="182">
        <f>O408</f>
        <v>99.59999999999854</v>
      </c>
    </row>
    <row r="408" spans="1:15" ht="22.5">
      <c r="A408" s="239" t="s">
        <v>664</v>
      </c>
      <c r="B408" s="281" t="s">
        <v>550</v>
      </c>
      <c r="C408" s="281" t="s">
        <v>692</v>
      </c>
      <c r="D408" s="283"/>
      <c r="E408" s="215"/>
      <c r="F408" s="90" t="s">
        <v>524</v>
      </c>
      <c r="G408" s="250"/>
      <c r="H408" s="254">
        <f>38655-4800</f>
        <v>33855</v>
      </c>
      <c r="I408" s="267">
        <f>SUM(G408:H408)</f>
        <v>33855</v>
      </c>
      <c r="J408" s="12"/>
      <c r="K408" s="13">
        <v>626.4</v>
      </c>
      <c r="L408" s="21">
        <f>J408+K408</f>
        <v>626.4</v>
      </c>
      <c r="M408" s="250">
        <f>G407-J407</f>
        <v>0</v>
      </c>
      <c r="N408" s="218">
        <f>H407-K407</f>
        <v>99.59999999999854</v>
      </c>
      <c r="O408" s="222">
        <f>SUM(M408:N408)</f>
        <v>99.59999999999854</v>
      </c>
    </row>
    <row r="409" spans="1:15" ht="33.75">
      <c r="A409" s="209"/>
      <c r="B409" s="260"/>
      <c r="C409" s="260"/>
      <c r="D409" s="241"/>
      <c r="E409" s="216"/>
      <c r="F409" s="91" t="s">
        <v>830</v>
      </c>
      <c r="G409" s="251"/>
      <c r="H409" s="255"/>
      <c r="I409" s="285"/>
      <c r="J409" s="15"/>
      <c r="K409" s="14">
        <v>646.2</v>
      </c>
      <c r="L409" s="31">
        <f>J409+K409</f>
        <v>646.2</v>
      </c>
      <c r="M409" s="251"/>
      <c r="N409" s="219"/>
      <c r="O409" s="223"/>
    </row>
    <row r="410" spans="1:15" ht="33.75">
      <c r="A410" s="209"/>
      <c r="B410" s="260"/>
      <c r="C410" s="260"/>
      <c r="D410" s="241"/>
      <c r="E410" s="216"/>
      <c r="F410" s="91" t="s">
        <v>831</v>
      </c>
      <c r="G410" s="251"/>
      <c r="H410" s="255"/>
      <c r="I410" s="285"/>
      <c r="J410" s="15"/>
      <c r="K410" s="14">
        <v>31440</v>
      </c>
      <c r="L410" s="31">
        <f>J410+K410</f>
        <v>31440</v>
      </c>
      <c r="M410" s="251"/>
      <c r="N410" s="219"/>
      <c r="O410" s="223"/>
    </row>
    <row r="411" spans="1:15" ht="34.5" thickBot="1">
      <c r="A411" s="240"/>
      <c r="B411" s="282"/>
      <c r="C411" s="282"/>
      <c r="D411" s="284"/>
      <c r="E411" s="217"/>
      <c r="F411" s="74" t="s">
        <v>525</v>
      </c>
      <c r="G411" s="253"/>
      <c r="H411" s="257"/>
      <c r="I411" s="268"/>
      <c r="J411" s="47"/>
      <c r="K411" s="63">
        <v>1042.8</v>
      </c>
      <c r="L411" s="46">
        <f>J411+K411</f>
        <v>1042.8</v>
      </c>
      <c r="M411" s="253"/>
      <c r="N411" s="203"/>
      <c r="O411" s="225"/>
    </row>
    <row r="412" spans="1:15" ht="13.5" thickBot="1">
      <c r="A412" s="171" t="s">
        <v>665</v>
      </c>
      <c r="B412" s="172"/>
      <c r="C412" s="172"/>
      <c r="D412" s="178"/>
      <c r="E412" s="179"/>
      <c r="F412" s="179"/>
      <c r="G412" s="180">
        <f aca="true" t="shared" si="42" ref="G412:O412">G413</f>
        <v>12037</v>
      </c>
      <c r="H412" s="181">
        <f t="shared" si="42"/>
        <v>357</v>
      </c>
      <c r="I412" s="182">
        <f t="shared" si="42"/>
        <v>12394</v>
      </c>
      <c r="J412" s="183">
        <f t="shared" si="42"/>
        <v>11000.4</v>
      </c>
      <c r="K412" s="181">
        <f t="shared" si="42"/>
        <v>0</v>
      </c>
      <c r="L412" s="182">
        <f t="shared" si="42"/>
        <v>11000.4</v>
      </c>
      <c r="M412" s="180">
        <f t="shared" si="42"/>
        <v>1036.6000000000004</v>
      </c>
      <c r="N412" s="181">
        <f t="shared" si="42"/>
        <v>357</v>
      </c>
      <c r="O412" s="182">
        <f t="shared" si="42"/>
        <v>1393.6000000000004</v>
      </c>
    </row>
    <row r="413" spans="1:15" ht="94.5" customHeight="1" thickBot="1">
      <c r="A413" s="75" t="s">
        <v>666</v>
      </c>
      <c r="B413" s="76" t="s">
        <v>550</v>
      </c>
      <c r="C413" s="76" t="s">
        <v>693</v>
      </c>
      <c r="D413" s="77"/>
      <c r="E413" s="78"/>
      <c r="F413" s="119" t="s">
        <v>667</v>
      </c>
      <c r="G413" s="42">
        <v>12037</v>
      </c>
      <c r="H413" s="38">
        <f>20557-20200</f>
        <v>357</v>
      </c>
      <c r="I413" s="94">
        <f>SUM(G413:H413)</f>
        <v>12394</v>
      </c>
      <c r="J413" s="37">
        <v>11000.4</v>
      </c>
      <c r="K413" s="38"/>
      <c r="L413" s="39">
        <f>J413+K413</f>
        <v>11000.4</v>
      </c>
      <c r="M413" s="42">
        <f>G412-J412</f>
        <v>1036.6000000000004</v>
      </c>
      <c r="N413" s="201">
        <f>H412-K412</f>
        <v>357</v>
      </c>
      <c r="O413" s="39">
        <f>SUM(M413:N413)</f>
        <v>1393.6000000000004</v>
      </c>
    </row>
    <row r="414" spans="1:15" ht="13.5" thickBot="1">
      <c r="A414" s="171" t="s">
        <v>670</v>
      </c>
      <c r="B414" s="172"/>
      <c r="C414" s="172"/>
      <c r="D414" s="178"/>
      <c r="E414" s="179"/>
      <c r="F414" s="179"/>
      <c r="G414" s="180">
        <f>G415</f>
        <v>4550</v>
      </c>
      <c r="H414" s="181">
        <f>H415</f>
        <v>13655</v>
      </c>
      <c r="I414" s="182">
        <f>I415</f>
        <v>18205</v>
      </c>
      <c r="J414" s="183">
        <f>SUM(J415:J428)</f>
        <v>4399.983</v>
      </c>
      <c r="K414" s="181">
        <f>SUM(K415:K428)</f>
        <v>9584.740000000002</v>
      </c>
      <c r="L414" s="182">
        <f>SUM(L415:L428)</f>
        <v>13984.723000000002</v>
      </c>
      <c r="M414" s="180">
        <f>M415</f>
        <v>150.01699999999983</v>
      </c>
      <c r="N414" s="181">
        <f>N415</f>
        <v>4070.2599999999984</v>
      </c>
      <c r="O414" s="182">
        <f>O415</f>
        <v>4220.276999999998</v>
      </c>
    </row>
    <row r="415" spans="1:15" ht="22.5">
      <c r="A415" s="239" t="s">
        <v>671</v>
      </c>
      <c r="B415" s="281" t="s">
        <v>550</v>
      </c>
      <c r="C415" s="281" t="s">
        <v>672</v>
      </c>
      <c r="D415" s="283"/>
      <c r="E415" s="211"/>
      <c r="F415" s="101" t="s">
        <v>673</v>
      </c>
      <c r="G415" s="246">
        <v>4550</v>
      </c>
      <c r="H415" s="265">
        <v>13655</v>
      </c>
      <c r="I415" s="267">
        <f>SUM(G415:H415)</f>
        <v>18205</v>
      </c>
      <c r="J415" s="12">
        <v>534</v>
      </c>
      <c r="K415" s="13"/>
      <c r="L415" s="21">
        <f aca="true" t="shared" si="43" ref="L415:L428">J415+K415</f>
        <v>534</v>
      </c>
      <c r="M415" s="263">
        <f>G414-J414</f>
        <v>150.01699999999983</v>
      </c>
      <c r="N415" s="265">
        <f>H414-K414</f>
        <v>4070.2599999999984</v>
      </c>
      <c r="O415" s="267">
        <f>SUM(M415:N415)</f>
        <v>4220.276999999998</v>
      </c>
    </row>
    <row r="416" spans="1:15" ht="22.5">
      <c r="A416" s="209"/>
      <c r="B416" s="260"/>
      <c r="C416" s="260"/>
      <c r="D416" s="241"/>
      <c r="E416" s="212"/>
      <c r="F416" s="142" t="s">
        <v>832</v>
      </c>
      <c r="G416" s="249"/>
      <c r="H416" s="286"/>
      <c r="I416" s="285"/>
      <c r="J416" s="15"/>
      <c r="K416" s="14">
        <v>96</v>
      </c>
      <c r="L416" s="31">
        <f t="shared" si="43"/>
        <v>96</v>
      </c>
      <c r="M416" s="287"/>
      <c r="N416" s="286"/>
      <c r="O416" s="285"/>
    </row>
    <row r="417" spans="1:15" ht="22.5">
      <c r="A417" s="209"/>
      <c r="B417" s="260"/>
      <c r="C417" s="260"/>
      <c r="D417" s="241"/>
      <c r="E417" s="212"/>
      <c r="F417" s="142" t="s">
        <v>526</v>
      </c>
      <c r="G417" s="249"/>
      <c r="H417" s="286"/>
      <c r="I417" s="285"/>
      <c r="J417" s="15"/>
      <c r="K417" s="14">
        <v>364.8</v>
      </c>
      <c r="L417" s="31">
        <f t="shared" si="43"/>
        <v>364.8</v>
      </c>
      <c r="M417" s="287"/>
      <c r="N417" s="286"/>
      <c r="O417" s="285"/>
    </row>
    <row r="418" spans="1:15" ht="33.75">
      <c r="A418" s="209"/>
      <c r="B418" s="260"/>
      <c r="C418" s="260"/>
      <c r="D418" s="241"/>
      <c r="E418" s="212"/>
      <c r="F418" s="142" t="s">
        <v>674</v>
      </c>
      <c r="G418" s="249"/>
      <c r="H418" s="286"/>
      <c r="I418" s="285"/>
      <c r="J418" s="15">
        <v>434.943</v>
      </c>
      <c r="K418" s="14"/>
      <c r="L418" s="31">
        <f t="shared" si="43"/>
        <v>434.943</v>
      </c>
      <c r="M418" s="287"/>
      <c r="N418" s="286"/>
      <c r="O418" s="285"/>
    </row>
    <row r="419" spans="1:15" ht="22.5">
      <c r="A419" s="209"/>
      <c r="B419" s="260"/>
      <c r="C419" s="260"/>
      <c r="D419" s="241"/>
      <c r="E419" s="212"/>
      <c r="F419" s="142" t="s">
        <v>675</v>
      </c>
      <c r="G419" s="249"/>
      <c r="H419" s="286"/>
      <c r="I419" s="285"/>
      <c r="J419" s="15">
        <v>431.08</v>
      </c>
      <c r="K419" s="14"/>
      <c r="L419" s="31">
        <f t="shared" si="43"/>
        <v>431.08</v>
      </c>
      <c r="M419" s="287"/>
      <c r="N419" s="286"/>
      <c r="O419" s="285"/>
    </row>
    <row r="420" spans="1:15" ht="22.5">
      <c r="A420" s="209"/>
      <c r="B420" s="260"/>
      <c r="C420" s="260"/>
      <c r="D420" s="241"/>
      <c r="E420" s="212"/>
      <c r="F420" s="142" t="s">
        <v>676</v>
      </c>
      <c r="G420" s="249"/>
      <c r="H420" s="286"/>
      <c r="I420" s="285"/>
      <c r="J420" s="15">
        <v>218.58</v>
      </c>
      <c r="K420" s="14"/>
      <c r="L420" s="31">
        <f t="shared" si="43"/>
        <v>218.58</v>
      </c>
      <c r="M420" s="287"/>
      <c r="N420" s="286"/>
      <c r="O420" s="285"/>
    </row>
    <row r="421" spans="1:15" ht="33.75">
      <c r="A421" s="209"/>
      <c r="B421" s="260"/>
      <c r="C421" s="260"/>
      <c r="D421" s="241"/>
      <c r="E421" s="212"/>
      <c r="F421" s="142" t="s">
        <v>833</v>
      </c>
      <c r="G421" s="249"/>
      <c r="H421" s="286"/>
      <c r="I421" s="285"/>
      <c r="J421" s="15">
        <v>209.75</v>
      </c>
      <c r="K421" s="14"/>
      <c r="L421" s="31">
        <f t="shared" si="43"/>
        <v>209.75</v>
      </c>
      <c r="M421" s="287"/>
      <c r="N421" s="286"/>
      <c r="O421" s="285"/>
    </row>
    <row r="422" spans="1:15" ht="22.5">
      <c r="A422" s="209"/>
      <c r="B422" s="260"/>
      <c r="C422" s="260"/>
      <c r="D422" s="241"/>
      <c r="E422" s="212"/>
      <c r="F422" s="142" t="s">
        <v>527</v>
      </c>
      <c r="G422" s="249"/>
      <c r="H422" s="286"/>
      <c r="I422" s="285"/>
      <c r="J422" s="15">
        <v>24.62</v>
      </c>
      <c r="K422" s="14"/>
      <c r="L422" s="31">
        <f t="shared" si="43"/>
        <v>24.62</v>
      </c>
      <c r="M422" s="287"/>
      <c r="N422" s="286"/>
      <c r="O422" s="285"/>
    </row>
    <row r="423" spans="1:15" ht="22.5">
      <c r="A423" s="209"/>
      <c r="B423" s="260"/>
      <c r="C423" s="260"/>
      <c r="D423" s="241"/>
      <c r="E423" s="212"/>
      <c r="F423" s="142" t="s">
        <v>677</v>
      </c>
      <c r="G423" s="249"/>
      <c r="H423" s="286"/>
      <c r="I423" s="285"/>
      <c r="J423" s="15"/>
      <c r="K423" s="14">
        <v>2510</v>
      </c>
      <c r="L423" s="31">
        <f t="shared" si="43"/>
        <v>2510</v>
      </c>
      <c r="M423" s="287"/>
      <c r="N423" s="286"/>
      <c r="O423" s="285"/>
    </row>
    <row r="424" spans="1:15" ht="22.5">
      <c r="A424" s="209"/>
      <c r="B424" s="260"/>
      <c r="C424" s="260"/>
      <c r="D424" s="241"/>
      <c r="E424" s="212"/>
      <c r="F424" s="142" t="s">
        <v>678</v>
      </c>
      <c r="G424" s="249"/>
      <c r="H424" s="286"/>
      <c r="I424" s="285"/>
      <c r="J424" s="15">
        <v>2547.01</v>
      </c>
      <c r="K424" s="14"/>
      <c r="L424" s="31">
        <f t="shared" si="43"/>
        <v>2547.01</v>
      </c>
      <c r="M424" s="287"/>
      <c r="N424" s="286"/>
      <c r="O424" s="285"/>
    </row>
    <row r="425" spans="1:15" ht="22.5">
      <c r="A425" s="209"/>
      <c r="B425" s="260"/>
      <c r="C425" s="260"/>
      <c r="D425" s="241"/>
      <c r="E425" s="212"/>
      <c r="F425" s="142" t="s">
        <v>528</v>
      </c>
      <c r="G425" s="249"/>
      <c r="H425" s="286"/>
      <c r="I425" s="285"/>
      <c r="J425" s="15"/>
      <c r="K425" s="14">
        <v>364.8</v>
      </c>
      <c r="L425" s="31">
        <f t="shared" si="43"/>
        <v>364.8</v>
      </c>
      <c r="M425" s="287"/>
      <c r="N425" s="286"/>
      <c r="O425" s="285"/>
    </row>
    <row r="426" spans="1:15" ht="22.5">
      <c r="A426" s="209"/>
      <c r="B426" s="260"/>
      <c r="C426" s="260"/>
      <c r="D426" s="241"/>
      <c r="E426" s="212"/>
      <c r="F426" s="142" t="s">
        <v>280</v>
      </c>
      <c r="G426" s="249"/>
      <c r="H426" s="286"/>
      <c r="I426" s="285"/>
      <c r="J426" s="16"/>
      <c r="K426" s="153">
        <v>2943.3</v>
      </c>
      <c r="L426" s="30">
        <f t="shared" si="43"/>
        <v>2943.3</v>
      </c>
      <c r="M426" s="287"/>
      <c r="N426" s="286"/>
      <c r="O426" s="285"/>
    </row>
    <row r="427" spans="1:15" ht="22.5">
      <c r="A427" s="209"/>
      <c r="B427" s="260"/>
      <c r="C427" s="260"/>
      <c r="D427" s="241"/>
      <c r="E427" s="212"/>
      <c r="F427" s="142" t="s">
        <v>281</v>
      </c>
      <c r="G427" s="249"/>
      <c r="H427" s="286"/>
      <c r="I427" s="285"/>
      <c r="J427" s="16"/>
      <c r="K427" s="153">
        <v>1823.96</v>
      </c>
      <c r="L427" s="30">
        <f t="shared" si="43"/>
        <v>1823.96</v>
      </c>
      <c r="M427" s="287"/>
      <c r="N427" s="286"/>
      <c r="O427" s="285"/>
    </row>
    <row r="428" spans="1:15" ht="23.25" thickBot="1">
      <c r="A428" s="210"/>
      <c r="B428" s="248"/>
      <c r="C428" s="248"/>
      <c r="D428" s="248"/>
      <c r="E428" s="213"/>
      <c r="F428" s="143" t="s">
        <v>282</v>
      </c>
      <c r="G428" s="247"/>
      <c r="H428" s="266"/>
      <c r="I428" s="327"/>
      <c r="J428" s="16"/>
      <c r="K428" s="153">
        <v>1481.88</v>
      </c>
      <c r="L428" s="30">
        <f t="shared" si="43"/>
        <v>1481.88</v>
      </c>
      <c r="M428" s="264"/>
      <c r="N428" s="266"/>
      <c r="O428" s="268"/>
    </row>
    <row r="429" spans="1:15" ht="13.5" thickBot="1">
      <c r="A429" s="171" t="s">
        <v>679</v>
      </c>
      <c r="B429" s="172"/>
      <c r="C429" s="172"/>
      <c r="D429" s="178"/>
      <c r="E429" s="179"/>
      <c r="F429" s="179"/>
      <c r="G429" s="180">
        <f aca="true" t="shared" si="44" ref="G429:O429">G430</f>
        <v>0</v>
      </c>
      <c r="H429" s="181">
        <f t="shared" si="44"/>
        <v>500</v>
      </c>
      <c r="I429" s="182">
        <f t="shared" si="44"/>
        <v>500</v>
      </c>
      <c r="J429" s="183">
        <f t="shared" si="44"/>
        <v>0</v>
      </c>
      <c r="K429" s="181">
        <f t="shared" si="44"/>
        <v>0</v>
      </c>
      <c r="L429" s="182">
        <f t="shared" si="44"/>
        <v>0</v>
      </c>
      <c r="M429" s="180">
        <f t="shared" si="44"/>
        <v>0</v>
      </c>
      <c r="N429" s="181">
        <f t="shared" si="44"/>
        <v>500</v>
      </c>
      <c r="O429" s="182">
        <f t="shared" si="44"/>
        <v>500</v>
      </c>
    </row>
    <row r="430" spans="1:15" ht="22.5" customHeight="1" thickBot="1">
      <c r="A430" s="75" t="s">
        <v>701</v>
      </c>
      <c r="B430" s="76" t="s">
        <v>550</v>
      </c>
      <c r="C430" s="76" t="s">
        <v>682</v>
      </c>
      <c r="D430" s="77"/>
      <c r="E430" s="78"/>
      <c r="F430" s="78"/>
      <c r="G430" s="42"/>
      <c r="H430" s="38">
        <f>3000-2500</f>
        <v>500</v>
      </c>
      <c r="I430" s="94">
        <f>SUM(G430:H430)</f>
        <v>500</v>
      </c>
      <c r="J430" s="37"/>
      <c r="K430" s="38"/>
      <c r="L430" s="39">
        <f>J430+K430</f>
        <v>0</v>
      </c>
      <c r="M430" s="42">
        <f>G429-J429</f>
        <v>0</v>
      </c>
      <c r="N430" s="201">
        <f>H429-K429</f>
        <v>500</v>
      </c>
      <c r="O430" s="39">
        <f>SUM(M430:N430)</f>
        <v>500</v>
      </c>
    </row>
    <row r="431" spans="1:15" ht="13.5" thickBot="1">
      <c r="A431" s="171" t="s">
        <v>702</v>
      </c>
      <c r="B431" s="172"/>
      <c r="C431" s="172"/>
      <c r="D431" s="178"/>
      <c r="E431" s="179"/>
      <c r="F431" s="179"/>
      <c r="G431" s="180">
        <f aca="true" t="shared" si="45" ref="G431:O431">G432</f>
        <v>0</v>
      </c>
      <c r="H431" s="181">
        <f t="shared" si="45"/>
        <v>500</v>
      </c>
      <c r="I431" s="182">
        <f t="shared" si="45"/>
        <v>500</v>
      </c>
      <c r="J431" s="183">
        <f t="shared" si="45"/>
        <v>0</v>
      </c>
      <c r="K431" s="181">
        <f t="shared" si="45"/>
        <v>0</v>
      </c>
      <c r="L431" s="182">
        <f t="shared" si="45"/>
        <v>0</v>
      </c>
      <c r="M431" s="180">
        <f t="shared" si="45"/>
        <v>0</v>
      </c>
      <c r="N431" s="181">
        <f t="shared" si="45"/>
        <v>500</v>
      </c>
      <c r="O431" s="182">
        <f t="shared" si="45"/>
        <v>500</v>
      </c>
    </row>
    <row r="432" spans="1:15" ht="22.5" customHeight="1" thickBot="1">
      <c r="A432" s="75" t="s">
        <v>703</v>
      </c>
      <c r="B432" s="76" t="s">
        <v>550</v>
      </c>
      <c r="C432" s="76" t="s">
        <v>682</v>
      </c>
      <c r="D432" s="77"/>
      <c r="E432" s="78"/>
      <c r="F432" s="78"/>
      <c r="G432" s="42"/>
      <c r="H432" s="38">
        <f>3000-2500</f>
        <v>500</v>
      </c>
      <c r="I432" s="94">
        <f>SUM(G432:H432)</f>
        <v>500</v>
      </c>
      <c r="J432" s="37"/>
      <c r="K432" s="38"/>
      <c r="L432" s="39">
        <f>J432+K432</f>
        <v>0</v>
      </c>
      <c r="M432" s="42">
        <f>G431-J431</f>
        <v>0</v>
      </c>
      <c r="N432" s="201">
        <f>H431-K431</f>
        <v>500</v>
      </c>
      <c r="O432" s="39">
        <f>SUM(M432:N432)</f>
        <v>500</v>
      </c>
    </row>
    <row r="433" spans="1:15" ht="13.5" thickBot="1">
      <c r="A433" s="171" t="s">
        <v>704</v>
      </c>
      <c r="B433" s="172"/>
      <c r="C433" s="172"/>
      <c r="D433" s="178"/>
      <c r="E433" s="179"/>
      <c r="F433" s="179"/>
      <c r="G433" s="180">
        <f aca="true" t="shared" si="46" ref="G433:O433">G434</f>
        <v>0</v>
      </c>
      <c r="H433" s="181">
        <f t="shared" si="46"/>
        <v>860</v>
      </c>
      <c r="I433" s="182">
        <f t="shared" si="46"/>
        <v>860</v>
      </c>
      <c r="J433" s="183">
        <f t="shared" si="46"/>
        <v>0</v>
      </c>
      <c r="K433" s="181">
        <f t="shared" si="46"/>
        <v>0</v>
      </c>
      <c r="L433" s="182">
        <f t="shared" si="46"/>
        <v>0</v>
      </c>
      <c r="M433" s="180">
        <f t="shared" si="46"/>
        <v>0</v>
      </c>
      <c r="N433" s="181">
        <f t="shared" si="46"/>
        <v>860</v>
      </c>
      <c r="O433" s="182">
        <f t="shared" si="46"/>
        <v>860</v>
      </c>
    </row>
    <row r="434" spans="1:15" ht="24.75" thickBot="1">
      <c r="A434" s="72" t="s">
        <v>705</v>
      </c>
      <c r="B434" s="55" t="s">
        <v>550</v>
      </c>
      <c r="C434" s="55" t="s">
        <v>694</v>
      </c>
      <c r="D434" s="56"/>
      <c r="E434" s="57"/>
      <c r="F434" s="57"/>
      <c r="G434" s="42"/>
      <c r="H434" s="38">
        <f>8360-7500</f>
        <v>860</v>
      </c>
      <c r="I434" s="94">
        <f>SUM(G434:H434)</f>
        <v>860</v>
      </c>
      <c r="J434" s="37"/>
      <c r="K434" s="38"/>
      <c r="L434" s="39">
        <f>J434+K434</f>
        <v>0</v>
      </c>
      <c r="M434" s="42">
        <f>G433-J433</f>
        <v>0</v>
      </c>
      <c r="N434" s="201">
        <f>H433-K433</f>
        <v>860</v>
      </c>
      <c r="O434" s="39">
        <f>SUM(M434:N434)</f>
        <v>860</v>
      </c>
    </row>
    <row r="435" spans="1:15" ht="13.5" thickBot="1">
      <c r="A435" s="171" t="s">
        <v>706</v>
      </c>
      <c r="B435" s="172"/>
      <c r="C435" s="172"/>
      <c r="D435" s="178"/>
      <c r="E435" s="179"/>
      <c r="F435" s="179"/>
      <c r="G435" s="180">
        <f aca="true" t="shared" si="47" ref="G435:O435">G436</f>
        <v>0</v>
      </c>
      <c r="H435" s="181">
        <f t="shared" si="47"/>
        <v>860</v>
      </c>
      <c r="I435" s="182">
        <f t="shared" si="47"/>
        <v>860</v>
      </c>
      <c r="J435" s="183">
        <f t="shared" si="47"/>
        <v>0</v>
      </c>
      <c r="K435" s="181">
        <f t="shared" si="47"/>
        <v>0</v>
      </c>
      <c r="L435" s="182">
        <f t="shared" si="47"/>
        <v>0</v>
      </c>
      <c r="M435" s="180">
        <f t="shared" si="47"/>
        <v>0</v>
      </c>
      <c r="N435" s="181">
        <f t="shared" si="47"/>
        <v>860</v>
      </c>
      <c r="O435" s="182">
        <f t="shared" si="47"/>
        <v>860</v>
      </c>
    </row>
    <row r="436" spans="1:15" ht="23.25" customHeight="1" thickBot="1">
      <c r="A436" s="75" t="s">
        <v>707</v>
      </c>
      <c r="B436" s="76" t="s">
        <v>550</v>
      </c>
      <c r="C436" s="76" t="s">
        <v>694</v>
      </c>
      <c r="D436" s="77"/>
      <c r="E436" s="78"/>
      <c r="F436" s="78"/>
      <c r="G436" s="42"/>
      <c r="H436" s="38">
        <f>10860-10000</f>
        <v>860</v>
      </c>
      <c r="I436" s="94">
        <f>SUM(G436:H436)</f>
        <v>860</v>
      </c>
      <c r="J436" s="37"/>
      <c r="K436" s="38"/>
      <c r="L436" s="39">
        <f>J436+K436</f>
        <v>0</v>
      </c>
      <c r="M436" s="42">
        <f>G435-J435</f>
        <v>0</v>
      </c>
      <c r="N436" s="201">
        <f>H435-K435</f>
        <v>860</v>
      </c>
      <c r="O436" s="39">
        <f>SUM(M436:N436)</f>
        <v>860</v>
      </c>
    </row>
    <row r="437" spans="1:15" ht="13.5" thickBot="1">
      <c r="A437" s="171" t="s">
        <v>708</v>
      </c>
      <c r="B437" s="172"/>
      <c r="C437" s="172"/>
      <c r="D437" s="178"/>
      <c r="E437" s="179"/>
      <c r="F437" s="179"/>
      <c r="G437" s="180">
        <f aca="true" t="shared" si="48" ref="G437:O437">G438</f>
        <v>137</v>
      </c>
      <c r="H437" s="181">
        <f t="shared" si="48"/>
        <v>1000</v>
      </c>
      <c r="I437" s="182">
        <f t="shared" si="48"/>
        <v>1137</v>
      </c>
      <c r="J437" s="183">
        <f t="shared" si="48"/>
        <v>0</v>
      </c>
      <c r="K437" s="181">
        <f t="shared" si="48"/>
        <v>891</v>
      </c>
      <c r="L437" s="182">
        <f t="shared" si="48"/>
        <v>891</v>
      </c>
      <c r="M437" s="180">
        <f t="shared" si="48"/>
        <v>137</v>
      </c>
      <c r="N437" s="181">
        <f t="shared" si="48"/>
        <v>109</v>
      </c>
      <c r="O437" s="182">
        <f t="shared" si="48"/>
        <v>246</v>
      </c>
    </row>
    <row r="438" spans="1:15" ht="27" customHeight="1" thickBot="1">
      <c r="A438" s="75" t="s">
        <v>709</v>
      </c>
      <c r="B438" s="76" t="s">
        <v>550</v>
      </c>
      <c r="C438" s="96" t="s">
        <v>695</v>
      </c>
      <c r="D438" s="77"/>
      <c r="E438" s="78"/>
      <c r="F438" s="119" t="s">
        <v>834</v>
      </c>
      <c r="G438" s="42">
        <v>137</v>
      </c>
      <c r="H438" s="38">
        <f>8000-7000</f>
        <v>1000</v>
      </c>
      <c r="I438" s="94">
        <f>SUM(G438:H438)</f>
        <v>1137</v>
      </c>
      <c r="J438" s="37"/>
      <c r="K438" s="38">
        <v>891</v>
      </c>
      <c r="L438" s="39">
        <f>J438+K438</f>
        <v>891</v>
      </c>
      <c r="M438" s="42">
        <f>G437-J437</f>
        <v>137</v>
      </c>
      <c r="N438" s="201">
        <f>H437-K437</f>
        <v>109</v>
      </c>
      <c r="O438" s="39">
        <f>SUM(M438:N438)</f>
        <v>246</v>
      </c>
    </row>
    <row r="439" spans="1:15" ht="13.5" thickBot="1">
      <c r="A439" s="171" t="s">
        <v>710</v>
      </c>
      <c r="B439" s="172"/>
      <c r="C439" s="172"/>
      <c r="D439" s="178"/>
      <c r="E439" s="179"/>
      <c r="F439" s="179"/>
      <c r="G439" s="180">
        <f aca="true" t="shared" si="49" ref="G439:O439">G440</f>
        <v>0</v>
      </c>
      <c r="H439" s="181">
        <f t="shared" si="49"/>
        <v>500</v>
      </c>
      <c r="I439" s="182">
        <f t="shared" si="49"/>
        <v>500</v>
      </c>
      <c r="J439" s="183">
        <f t="shared" si="49"/>
        <v>0</v>
      </c>
      <c r="K439" s="181">
        <f t="shared" si="49"/>
        <v>0</v>
      </c>
      <c r="L439" s="182">
        <f t="shared" si="49"/>
        <v>0</v>
      </c>
      <c r="M439" s="180">
        <f t="shared" si="49"/>
        <v>0</v>
      </c>
      <c r="N439" s="181">
        <f t="shared" si="49"/>
        <v>500</v>
      </c>
      <c r="O439" s="182">
        <f t="shared" si="49"/>
        <v>500</v>
      </c>
    </row>
    <row r="440" spans="1:15" ht="13.5" thickBot="1">
      <c r="A440" s="123" t="s">
        <v>711</v>
      </c>
      <c r="B440" s="124" t="s">
        <v>550</v>
      </c>
      <c r="C440" s="125" t="s">
        <v>696</v>
      </c>
      <c r="D440" s="126"/>
      <c r="E440" s="127"/>
      <c r="F440" s="127"/>
      <c r="G440" s="42"/>
      <c r="H440" s="38">
        <f>2500-2000</f>
        <v>500</v>
      </c>
      <c r="I440" s="94">
        <f>SUM(G440:H440)</f>
        <v>500</v>
      </c>
      <c r="J440" s="37"/>
      <c r="K440" s="38"/>
      <c r="L440" s="39">
        <f>J440+K440</f>
        <v>0</v>
      </c>
      <c r="M440" s="42">
        <f>G439-J439</f>
        <v>0</v>
      </c>
      <c r="N440" s="201">
        <f>H439-K439</f>
        <v>500</v>
      </c>
      <c r="O440" s="39">
        <f>SUM(M440:N440)</f>
        <v>500</v>
      </c>
    </row>
    <row r="441" spans="1:15" ht="13.5" thickBot="1">
      <c r="A441" s="171" t="s">
        <v>712</v>
      </c>
      <c r="B441" s="172"/>
      <c r="C441" s="172"/>
      <c r="D441" s="178"/>
      <c r="E441" s="179"/>
      <c r="F441" s="179"/>
      <c r="G441" s="180">
        <f aca="true" t="shared" si="50" ref="G441:O441">G442</f>
        <v>0</v>
      </c>
      <c r="H441" s="181">
        <f t="shared" si="50"/>
        <v>500</v>
      </c>
      <c r="I441" s="182">
        <f t="shared" si="50"/>
        <v>500</v>
      </c>
      <c r="J441" s="183">
        <f t="shared" si="50"/>
        <v>0</v>
      </c>
      <c r="K441" s="181">
        <f t="shared" si="50"/>
        <v>0</v>
      </c>
      <c r="L441" s="182">
        <f t="shared" si="50"/>
        <v>0</v>
      </c>
      <c r="M441" s="180">
        <f t="shared" si="50"/>
        <v>0</v>
      </c>
      <c r="N441" s="181">
        <f t="shared" si="50"/>
        <v>500</v>
      </c>
      <c r="O441" s="182">
        <f t="shared" si="50"/>
        <v>500</v>
      </c>
    </row>
    <row r="442" spans="1:15" ht="13.5" thickBot="1">
      <c r="A442" s="75" t="s">
        <v>713</v>
      </c>
      <c r="B442" s="76" t="s">
        <v>550</v>
      </c>
      <c r="C442" s="76" t="s">
        <v>682</v>
      </c>
      <c r="D442" s="77"/>
      <c r="E442" s="78"/>
      <c r="F442" s="78"/>
      <c r="G442" s="42"/>
      <c r="H442" s="38">
        <f>2500-2000</f>
        <v>500</v>
      </c>
      <c r="I442" s="39">
        <f>SUM(G442:H442)</f>
        <v>500</v>
      </c>
      <c r="J442" s="37"/>
      <c r="K442" s="38"/>
      <c r="L442" s="39">
        <f>J442+K442</f>
        <v>0</v>
      </c>
      <c r="M442" s="42">
        <f>G441-J441</f>
        <v>0</v>
      </c>
      <c r="N442" s="201">
        <f>H441-K441</f>
        <v>500</v>
      </c>
      <c r="O442" s="39">
        <f>SUM(M442:N442)</f>
        <v>500</v>
      </c>
    </row>
    <row r="443" spans="1:15" ht="13.5" thickBot="1">
      <c r="A443" s="171" t="s">
        <v>714</v>
      </c>
      <c r="B443" s="172"/>
      <c r="C443" s="172"/>
      <c r="D443" s="178"/>
      <c r="E443" s="179"/>
      <c r="F443" s="179"/>
      <c r="G443" s="180">
        <f aca="true" t="shared" si="51" ref="G443:O443">G444</f>
        <v>7789</v>
      </c>
      <c r="H443" s="181">
        <f t="shared" si="51"/>
        <v>18000</v>
      </c>
      <c r="I443" s="182">
        <f t="shared" si="51"/>
        <v>25789</v>
      </c>
      <c r="J443" s="183">
        <f t="shared" si="51"/>
        <v>0</v>
      </c>
      <c r="K443" s="181">
        <f t="shared" si="51"/>
        <v>17622</v>
      </c>
      <c r="L443" s="182">
        <f t="shared" si="51"/>
        <v>17622</v>
      </c>
      <c r="M443" s="180">
        <f t="shared" si="51"/>
        <v>7789</v>
      </c>
      <c r="N443" s="181">
        <f t="shared" si="51"/>
        <v>378</v>
      </c>
      <c r="O443" s="182">
        <f t="shared" si="51"/>
        <v>8167</v>
      </c>
    </row>
    <row r="444" spans="1:15" ht="45.75" customHeight="1" thickBot="1">
      <c r="A444" s="75" t="s">
        <v>715</v>
      </c>
      <c r="B444" s="76" t="s">
        <v>550</v>
      </c>
      <c r="C444" s="76" t="s">
        <v>716</v>
      </c>
      <c r="D444" s="77"/>
      <c r="E444" s="78"/>
      <c r="F444" s="119" t="s">
        <v>717</v>
      </c>
      <c r="G444" s="42">
        <v>7789</v>
      </c>
      <c r="H444" s="38">
        <v>18000</v>
      </c>
      <c r="I444" s="39">
        <f>SUM(G444:H444)</f>
        <v>25789</v>
      </c>
      <c r="J444" s="37"/>
      <c r="K444" s="38">
        <v>17622</v>
      </c>
      <c r="L444" s="39">
        <f>J444+K444</f>
        <v>17622</v>
      </c>
      <c r="M444" s="42">
        <f>G443-J443</f>
        <v>7789</v>
      </c>
      <c r="N444" s="38">
        <f>H443-K443</f>
        <v>378</v>
      </c>
      <c r="O444" s="39">
        <f>SUM(M444:N444)</f>
        <v>8167</v>
      </c>
    </row>
    <row r="445" spans="1:15" ht="13.5" thickBot="1">
      <c r="A445" s="171" t="s">
        <v>718</v>
      </c>
      <c r="B445" s="172"/>
      <c r="C445" s="172"/>
      <c r="D445" s="178"/>
      <c r="E445" s="179"/>
      <c r="F445" s="179"/>
      <c r="G445" s="180">
        <f aca="true" t="shared" si="52" ref="G445:O445">G446</f>
        <v>0</v>
      </c>
      <c r="H445" s="181">
        <f t="shared" si="52"/>
        <v>500</v>
      </c>
      <c r="I445" s="182">
        <f t="shared" si="52"/>
        <v>500</v>
      </c>
      <c r="J445" s="183">
        <f t="shared" si="52"/>
        <v>0</v>
      </c>
      <c r="K445" s="181">
        <f t="shared" si="52"/>
        <v>0</v>
      </c>
      <c r="L445" s="182">
        <f t="shared" si="52"/>
        <v>0</v>
      </c>
      <c r="M445" s="180">
        <f t="shared" si="52"/>
        <v>0</v>
      </c>
      <c r="N445" s="181">
        <f t="shared" si="52"/>
        <v>500</v>
      </c>
      <c r="O445" s="182">
        <f t="shared" si="52"/>
        <v>500</v>
      </c>
    </row>
    <row r="446" spans="1:15" ht="33.75" customHeight="1" thickBot="1">
      <c r="A446" s="75" t="s">
        <v>719</v>
      </c>
      <c r="B446" s="76" t="s">
        <v>550</v>
      </c>
      <c r="C446" s="76" t="s">
        <v>682</v>
      </c>
      <c r="D446" s="77"/>
      <c r="E446" s="78"/>
      <c r="F446" s="78"/>
      <c r="G446" s="42"/>
      <c r="H446" s="38">
        <f>3000-2500</f>
        <v>500</v>
      </c>
      <c r="I446" s="39">
        <f>SUM(G446:H446)</f>
        <v>500</v>
      </c>
      <c r="J446" s="37"/>
      <c r="K446" s="38"/>
      <c r="L446" s="39">
        <f>J446+K446</f>
        <v>0</v>
      </c>
      <c r="M446" s="42">
        <f>G445-J445</f>
        <v>0</v>
      </c>
      <c r="N446" s="201">
        <f>H445-K445</f>
        <v>500</v>
      </c>
      <c r="O446" s="39">
        <f>SUM(M446:N446)</f>
        <v>500</v>
      </c>
    </row>
    <row r="447" spans="1:15" ht="13.5" thickBot="1">
      <c r="A447" s="171" t="s">
        <v>720</v>
      </c>
      <c r="B447" s="172"/>
      <c r="C447" s="172"/>
      <c r="D447" s="178"/>
      <c r="E447" s="179"/>
      <c r="F447" s="179"/>
      <c r="G447" s="180">
        <f>G448</f>
        <v>100</v>
      </c>
      <c r="H447" s="181">
        <f>H448</f>
        <v>16868</v>
      </c>
      <c r="I447" s="182">
        <f>I448</f>
        <v>16968</v>
      </c>
      <c r="J447" s="183">
        <f>SUM(J448:J449)</f>
        <v>94.28</v>
      </c>
      <c r="K447" s="181">
        <f>SUM(K448:K449)</f>
        <v>16830</v>
      </c>
      <c r="L447" s="182">
        <f>SUM(L448:L449)</f>
        <v>16924.28</v>
      </c>
      <c r="M447" s="180">
        <f>M448</f>
        <v>5.719999999999999</v>
      </c>
      <c r="N447" s="181">
        <f>N448</f>
        <v>38</v>
      </c>
      <c r="O447" s="182">
        <f>O448</f>
        <v>43.72</v>
      </c>
    </row>
    <row r="448" spans="1:15" ht="22.5">
      <c r="A448" s="239" t="s">
        <v>721</v>
      </c>
      <c r="B448" s="281" t="s">
        <v>550</v>
      </c>
      <c r="C448" s="281" t="s">
        <v>697</v>
      </c>
      <c r="D448" s="283"/>
      <c r="E448" s="215"/>
      <c r="F448" s="90" t="s">
        <v>529</v>
      </c>
      <c r="G448" s="250">
        <v>100</v>
      </c>
      <c r="H448" s="229">
        <f>37000-11132-9000</f>
        <v>16868</v>
      </c>
      <c r="I448" s="267">
        <f>SUM(G448:H448)</f>
        <v>16968</v>
      </c>
      <c r="J448" s="12"/>
      <c r="K448" s="13">
        <v>16830</v>
      </c>
      <c r="L448" s="21">
        <f>J448+K448</f>
        <v>16830</v>
      </c>
      <c r="M448" s="250">
        <f>G447-J447</f>
        <v>5.719999999999999</v>
      </c>
      <c r="N448" s="218">
        <f>H447-K447</f>
        <v>38</v>
      </c>
      <c r="O448" s="222">
        <f>SUM(M448:N448)</f>
        <v>43.72</v>
      </c>
    </row>
    <row r="449" spans="1:15" ht="23.25" thickBot="1">
      <c r="A449" s="240"/>
      <c r="B449" s="282"/>
      <c r="C449" s="282"/>
      <c r="D449" s="284"/>
      <c r="E449" s="217"/>
      <c r="F449" s="74" t="s">
        <v>530</v>
      </c>
      <c r="G449" s="253"/>
      <c r="H449" s="230"/>
      <c r="I449" s="268"/>
      <c r="J449" s="47">
        <v>94.28</v>
      </c>
      <c r="K449" s="63"/>
      <c r="L449" s="46">
        <f>J449+K449</f>
        <v>94.28</v>
      </c>
      <c r="M449" s="253"/>
      <c r="N449" s="203"/>
      <c r="O449" s="225"/>
    </row>
    <row r="450" spans="1:15" ht="13.5" thickBot="1">
      <c r="A450" s="171" t="s">
        <v>722</v>
      </c>
      <c r="B450" s="172"/>
      <c r="C450" s="172"/>
      <c r="D450" s="178"/>
      <c r="E450" s="179"/>
      <c r="F450" s="179"/>
      <c r="G450" s="180">
        <f aca="true" t="shared" si="53" ref="G450:O450">G451</f>
        <v>0</v>
      </c>
      <c r="H450" s="181">
        <f t="shared" si="53"/>
        <v>1600</v>
      </c>
      <c r="I450" s="182">
        <f t="shared" si="53"/>
        <v>1600</v>
      </c>
      <c r="J450" s="183">
        <f t="shared" si="53"/>
        <v>0</v>
      </c>
      <c r="K450" s="181">
        <f t="shared" si="53"/>
        <v>1573</v>
      </c>
      <c r="L450" s="182">
        <f t="shared" si="53"/>
        <v>1573</v>
      </c>
      <c r="M450" s="180">
        <f t="shared" si="53"/>
        <v>0</v>
      </c>
      <c r="N450" s="181">
        <f t="shared" si="53"/>
        <v>27</v>
      </c>
      <c r="O450" s="182">
        <f t="shared" si="53"/>
        <v>27</v>
      </c>
    </row>
    <row r="451" spans="1:15" ht="24.75" thickBot="1">
      <c r="A451" s="75" t="s">
        <v>725</v>
      </c>
      <c r="B451" s="76" t="s">
        <v>550</v>
      </c>
      <c r="C451" s="76" t="s">
        <v>698</v>
      </c>
      <c r="D451" s="77"/>
      <c r="E451" s="78"/>
      <c r="F451" s="99" t="s">
        <v>534</v>
      </c>
      <c r="G451" s="42"/>
      <c r="H451" s="38">
        <f>11600-10000</f>
        <v>1600</v>
      </c>
      <c r="I451" s="39">
        <f>SUM(G451:H451)</f>
        <v>1600</v>
      </c>
      <c r="J451" s="37"/>
      <c r="K451" s="38">
        <v>1573</v>
      </c>
      <c r="L451" s="39">
        <f>J451+K451</f>
        <v>1573</v>
      </c>
      <c r="M451" s="42">
        <f>G450-J450</f>
        <v>0</v>
      </c>
      <c r="N451" s="201">
        <f>H450-K450</f>
        <v>27</v>
      </c>
      <c r="O451" s="39">
        <f>SUM(M451:N451)</f>
        <v>27</v>
      </c>
    </row>
    <row r="452" spans="1:15" ht="13.5" thickBot="1">
      <c r="A452" s="171" t="s">
        <v>726</v>
      </c>
      <c r="B452" s="172"/>
      <c r="C452" s="172"/>
      <c r="D452" s="178"/>
      <c r="E452" s="179"/>
      <c r="F452" s="179"/>
      <c r="G452" s="180">
        <f aca="true" t="shared" si="54" ref="G452:O452">G453</f>
        <v>1000</v>
      </c>
      <c r="H452" s="181">
        <f t="shared" si="54"/>
        <v>2500</v>
      </c>
      <c r="I452" s="182">
        <f t="shared" si="54"/>
        <v>3500</v>
      </c>
      <c r="J452" s="183">
        <f t="shared" si="54"/>
        <v>936</v>
      </c>
      <c r="K452" s="181">
        <f t="shared" si="54"/>
        <v>0</v>
      </c>
      <c r="L452" s="182">
        <f t="shared" si="54"/>
        <v>936</v>
      </c>
      <c r="M452" s="180">
        <f t="shared" si="54"/>
        <v>64</v>
      </c>
      <c r="N452" s="181">
        <f t="shared" si="54"/>
        <v>2500</v>
      </c>
      <c r="O452" s="182">
        <f t="shared" si="54"/>
        <v>2564</v>
      </c>
    </row>
    <row r="453" spans="1:15" ht="34.5" thickBot="1">
      <c r="A453" s="75" t="s">
        <v>727</v>
      </c>
      <c r="B453" s="76" t="s">
        <v>550</v>
      </c>
      <c r="C453" s="76" t="s">
        <v>655</v>
      </c>
      <c r="D453" s="77"/>
      <c r="E453" s="78"/>
      <c r="F453" s="99" t="s">
        <v>535</v>
      </c>
      <c r="G453" s="42">
        <v>1000</v>
      </c>
      <c r="H453" s="38">
        <v>2500</v>
      </c>
      <c r="I453" s="39">
        <f>SUM(G453:H453)</f>
        <v>3500</v>
      </c>
      <c r="J453" s="37">
        <v>936</v>
      </c>
      <c r="K453" s="38"/>
      <c r="L453" s="39">
        <f>J453+K453</f>
        <v>936</v>
      </c>
      <c r="M453" s="42">
        <f>G452-J452</f>
        <v>64</v>
      </c>
      <c r="N453" s="38">
        <f>H452-K452</f>
        <v>2500</v>
      </c>
      <c r="O453" s="39">
        <f>SUM(M453:N453)</f>
        <v>2564</v>
      </c>
    </row>
    <row r="454" spans="1:15" ht="13.5" thickBot="1">
      <c r="A454" s="171" t="s">
        <v>728</v>
      </c>
      <c r="B454" s="172"/>
      <c r="C454" s="172"/>
      <c r="D454" s="178"/>
      <c r="E454" s="179"/>
      <c r="F454" s="179"/>
      <c r="G454" s="180">
        <f aca="true" t="shared" si="55" ref="G454:O454">G455</f>
        <v>621</v>
      </c>
      <c r="H454" s="181">
        <f t="shared" si="55"/>
        <v>3500</v>
      </c>
      <c r="I454" s="182">
        <f t="shared" si="55"/>
        <v>4121</v>
      </c>
      <c r="J454" s="183">
        <f t="shared" si="55"/>
        <v>621</v>
      </c>
      <c r="K454" s="181">
        <f t="shared" si="55"/>
        <v>0</v>
      </c>
      <c r="L454" s="182">
        <f t="shared" si="55"/>
        <v>621</v>
      </c>
      <c r="M454" s="180">
        <f t="shared" si="55"/>
        <v>0</v>
      </c>
      <c r="N454" s="181">
        <f t="shared" si="55"/>
        <v>3500</v>
      </c>
      <c r="O454" s="182">
        <f t="shared" si="55"/>
        <v>3500</v>
      </c>
    </row>
    <row r="455" spans="1:15" ht="34.5" thickBot="1">
      <c r="A455" s="75" t="s">
        <v>729</v>
      </c>
      <c r="B455" s="76" t="s">
        <v>550</v>
      </c>
      <c r="C455" s="76" t="s">
        <v>699</v>
      </c>
      <c r="D455" s="77"/>
      <c r="E455" s="78"/>
      <c r="F455" s="99" t="s">
        <v>536</v>
      </c>
      <c r="G455" s="42">
        <v>621</v>
      </c>
      <c r="H455" s="38">
        <f>5000-1500</f>
        <v>3500</v>
      </c>
      <c r="I455" s="39">
        <f>SUM(G455:H455)</f>
        <v>4121</v>
      </c>
      <c r="J455" s="37">
        <v>621</v>
      </c>
      <c r="K455" s="38"/>
      <c r="L455" s="39">
        <f>J455+K455</f>
        <v>621</v>
      </c>
      <c r="M455" s="42">
        <f>G454-J454</f>
        <v>0</v>
      </c>
      <c r="N455" s="201">
        <f>H454-K454</f>
        <v>3500</v>
      </c>
      <c r="O455" s="39">
        <f>SUM(M455:N455)</f>
        <v>3500</v>
      </c>
    </row>
    <row r="456" spans="1:15" ht="13.5" thickBot="1">
      <c r="A456" s="171" t="s">
        <v>730</v>
      </c>
      <c r="B456" s="172"/>
      <c r="C456" s="172"/>
      <c r="D456" s="178"/>
      <c r="E456" s="179"/>
      <c r="F456" s="179"/>
      <c r="G456" s="180">
        <f>G457</f>
        <v>210</v>
      </c>
      <c r="H456" s="181">
        <f>H457</f>
        <v>3500</v>
      </c>
      <c r="I456" s="182">
        <f>I457</f>
        <v>3710</v>
      </c>
      <c r="J456" s="183">
        <f>SUM(J457:J461)</f>
        <v>167.39000000000001</v>
      </c>
      <c r="K456" s="181">
        <f>SUM(K457:K461)</f>
        <v>143.9</v>
      </c>
      <c r="L456" s="182">
        <f>SUM(L457:L461)</f>
        <v>311.29</v>
      </c>
      <c r="M456" s="180">
        <f>M457</f>
        <v>42.609999999999985</v>
      </c>
      <c r="N456" s="181">
        <f>N457</f>
        <v>3356.1</v>
      </c>
      <c r="O456" s="182">
        <f>O457</f>
        <v>3398.71</v>
      </c>
    </row>
    <row r="457" spans="1:15" ht="22.5">
      <c r="A457" s="239" t="s">
        <v>731</v>
      </c>
      <c r="B457" s="281" t="s">
        <v>550</v>
      </c>
      <c r="C457" s="281" t="s">
        <v>732</v>
      </c>
      <c r="D457" s="283"/>
      <c r="E457" s="215"/>
      <c r="F457" s="90" t="s">
        <v>733</v>
      </c>
      <c r="G457" s="250">
        <v>210</v>
      </c>
      <c r="H457" s="254">
        <v>3500</v>
      </c>
      <c r="I457" s="267">
        <f>SUM(G457:H457)</f>
        <v>3710</v>
      </c>
      <c r="J457" s="12">
        <v>94.49</v>
      </c>
      <c r="K457" s="13"/>
      <c r="L457" s="21">
        <f>J457+K457</f>
        <v>94.49</v>
      </c>
      <c r="M457" s="250">
        <f>G456-J456</f>
        <v>42.609999999999985</v>
      </c>
      <c r="N457" s="229">
        <f>H456-K456</f>
        <v>3356.1</v>
      </c>
      <c r="O457" s="222">
        <f>SUM(M457:N457)</f>
        <v>3398.71</v>
      </c>
    </row>
    <row r="458" spans="1:15" ht="22.5">
      <c r="A458" s="209"/>
      <c r="B458" s="260"/>
      <c r="C458" s="260"/>
      <c r="D458" s="241"/>
      <c r="E458" s="216"/>
      <c r="F458" s="91" t="s">
        <v>835</v>
      </c>
      <c r="G458" s="251"/>
      <c r="H458" s="255"/>
      <c r="I458" s="285"/>
      <c r="J458" s="15">
        <v>66</v>
      </c>
      <c r="K458" s="14"/>
      <c r="L458" s="31">
        <f>J458+K458</f>
        <v>66</v>
      </c>
      <c r="M458" s="251"/>
      <c r="N458" s="231"/>
      <c r="O458" s="223"/>
    </row>
    <row r="459" spans="1:15" ht="22.5">
      <c r="A459" s="209"/>
      <c r="B459" s="260"/>
      <c r="C459" s="260"/>
      <c r="D459" s="241"/>
      <c r="E459" s="216"/>
      <c r="F459" s="91" t="s">
        <v>836</v>
      </c>
      <c r="G459" s="251"/>
      <c r="H459" s="255"/>
      <c r="I459" s="285"/>
      <c r="J459" s="15"/>
      <c r="K459" s="14">
        <v>35.9</v>
      </c>
      <c r="L459" s="31">
        <f>J459+K459</f>
        <v>35.9</v>
      </c>
      <c r="M459" s="251"/>
      <c r="N459" s="231"/>
      <c r="O459" s="223"/>
    </row>
    <row r="460" spans="1:15" ht="22.5">
      <c r="A460" s="209"/>
      <c r="B460" s="260"/>
      <c r="C460" s="260"/>
      <c r="D460" s="241"/>
      <c r="E460" s="216"/>
      <c r="F460" s="91" t="s">
        <v>837</v>
      </c>
      <c r="G460" s="252"/>
      <c r="H460" s="256"/>
      <c r="I460" s="285"/>
      <c r="J460" s="18">
        <v>6.9</v>
      </c>
      <c r="K460" s="19"/>
      <c r="L460" s="31">
        <f>J460+K460</f>
        <v>6.9</v>
      </c>
      <c r="M460" s="252"/>
      <c r="N460" s="232"/>
      <c r="O460" s="224"/>
    </row>
    <row r="461" spans="1:15" ht="23.25" thickBot="1">
      <c r="A461" s="240"/>
      <c r="B461" s="282"/>
      <c r="C461" s="282"/>
      <c r="D461" s="284"/>
      <c r="E461" s="217"/>
      <c r="F461" s="143" t="s">
        <v>283</v>
      </c>
      <c r="G461" s="253"/>
      <c r="H461" s="257"/>
      <c r="I461" s="268"/>
      <c r="J461" s="154"/>
      <c r="K461" s="155">
        <v>108</v>
      </c>
      <c r="L461" s="147">
        <f>J461+K461</f>
        <v>108</v>
      </c>
      <c r="M461" s="253"/>
      <c r="N461" s="230"/>
      <c r="O461" s="225"/>
    </row>
    <row r="462" spans="1:15" ht="13.5" thickBot="1">
      <c r="A462" s="171" t="s">
        <v>734</v>
      </c>
      <c r="B462" s="172"/>
      <c r="C462" s="172"/>
      <c r="D462" s="178"/>
      <c r="E462" s="179"/>
      <c r="F462" s="179"/>
      <c r="G462" s="180">
        <f>G463</f>
        <v>1872</v>
      </c>
      <c r="H462" s="181">
        <f>H463</f>
        <v>5000</v>
      </c>
      <c r="I462" s="182">
        <f>I463</f>
        <v>6872</v>
      </c>
      <c r="J462" s="183">
        <f>SUM(J463:J464)</f>
        <v>1844.2</v>
      </c>
      <c r="K462" s="181">
        <f>SUM(K463:K464)</f>
        <v>621</v>
      </c>
      <c r="L462" s="182">
        <f>L463</f>
        <v>621</v>
      </c>
      <c r="M462" s="180">
        <f>M463</f>
        <v>27.799999999999955</v>
      </c>
      <c r="N462" s="181">
        <f>N463</f>
        <v>4379</v>
      </c>
      <c r="O462" s="182">
        <f>O463</f>
        <v>4406.8</v>
      </c>
    </row>
    <row r="463" spans="1:15" ht="33.75">
      <c r="A463" s="258" t="s">
        <v>735</v>
      </c>
      <c r="B463" s="281" t="s">
        <v>550</v>
      </c>
      <c r="C463" s="281" t="s">
        <v>736</v>
      </c>
      <c r="D463" s="283"/>
      <c r="E463" s="215"/>
      <c r="F463" s="90" t="s">
        <v>838</v>
      </c>
      <c r="G463" s="250">
        <v>1872</v>
      </c>
      <c r="H463" s="254">
        <v>5000</v>
      </c>
      <c r="I463" s="267">
        <f>SUM(G463:H463)</f>
        <v>6872</v>
      </c>
      <c r="J463" s="12"/>
      <c r="K463" s="13">
        <v>621</v>
      </c>
      <c r="L463" s="21">
        <f>J463+K463</f>
        <v>621</v>
      </c>
      <c r="M463" s="250">
        <f>G462-J462</f>
        <v>27.799999999999955</v>
      </c>
      <c r="N463" s="229">
        <f>H462-K462</f>
        <v>4379</v>
      </c>
      <c r="O463" s="222">
        <f>SUM(M463:N463)</f>
        <v>4406.8</v>
      </c>
    </row>
    <row r="464" spans="1:15" ht="23.25" thickBot="1">
      <c r="A464" s="221"/>
      <c r="B464" s="282"/>
      <c r="C464" s="282"/>
      <c r="D464" s="284"/>
      <c r="E464" s="217"/>
      <c r="F464" s="74" t="s">
        <v>839</v>
      </c>
      <c r="G464" s="253"/>
      <c r="H464" s="257"/>
      <c r="I464" s="268"/>
      <c r="J464" s="47">
        <v>1844.2</v>
      </c>
      <c r="K464" s="63"/>
      <c r="L464" s="46">
        <f>J464+K464</f>
        <v>1844.2</v>
      </c>
      <c r="M464" s="253"/>
      <c r="N464" s="230"/>
      <c r="O464" s="225"/>
    </row>
    <row r="465" spans="1:15" ht="13.5" thickBot="1">
      <c r="A465" s="171" t="s">
        <v>737</v>
      </c>
      <c r="B465" s="172"/>
      <c r="C465" s="172"/>
      <c r="D465" s="178"/>
      <c r="E465" s="179"/>
      <c r="F465" s="179"/>
      <c r="G465" s="180">
        <f aca="true" t="shared" si="56" ref="G465:O467">G466</f>
        <v>500</v>
      </c>
      <c r="H465" s="181">
        <f t="shared" si="56"/>
        <v>5000</v>
      </c>
      <c r="I465" s="182">
        <f t="shared" si="56"/>
        <v>5500</v>
      </c>
      <c r="J465" s="183">
        <f t="shared" si="56"/>
        <v>0</v>
      </c>
      <c r="K465" s="181">
        <f t="shared" si="56"/>
        <v>1098</v>
      </c>
      <c r="L465" s="182">
        <f t="shared" si="56"/>
        <v>1098</v>
      </c>
      <c r="M465" s="180">
        <f t="shared" si="56"/>
        <v>500</v>
      </c>
      <c r="N465" s="181">
        <f t="shared" si="56"/>
        <v>3902</v>
      </c>
      <c r="O465" s="182">
        <f t="shared" si="56"/>
        <v>4402</v>
      </c>
    </row>
    <row r="466" spans="1:15" ht="55.5" customHeight="1" thickBot="1">
      <c r="A466" s="75" t="s">
        <v>738</v>
      </c>
      <c r="B466" s="76" t="s">
        <v>550</v>
      </c>
      <c r="C466" s="76" t="s">
        <v>652</v>
      </c>
      <c r="D466" s="77"/>
      <c r="E466" s="78"/>
      <c r="F466" s="99" t="s">
        <v>840</v>
      </c>
      <c r="G466" s="42">
        <v>500</v>
      </c>
      <c r="H466" s="38">
        <v>5000</v>
      </c>
      <c r="I466" s="39">
        <f>SUM(G466:H466)</f>
        <v>5500</v>
      </c>
      <c r="J466" s="37"/>
      <c r="K466" s="38">
        <v>1098</v>
      </c>
      <c r="L466" s="39">
        <f>J466+K466</f>
        <v>1098</v>
      </c>
      <c r="M466" s="42">
        <f>G465-J465</f>
        <v>500</v>
      </c>
      <c r="N466" s="151">
        <f>H465-K465</f>
        <v>3902</v>
      </c>
      <c r="O466" s="39">
        <f>SUM(M466:N466)</f>
        <v>4402</v>
      </c>
    </row>
    <row r="467" spans="1:15" ht="13.5" thickBot="1">
      <c r="A467" s="171" t="s">
        <v>856</v>
      </c>
      <c r="B467" s="172"/>
      <c r="C467" s="172"/>
      <c r="D467" s="178"/>
      <c r="E467" s="179"/>
      <c r="F467" s="179"/>
      <c r="G467" s="180">
        <f t="shared" si="56"/>
        <v>0</v>
      </c>
      <c r="H467" s="181">
        <f t="shared" si="56"/>
        <v>200</v>
      </c>
      <c r="I467" s="182">
        <f t="shared" si="56"/>
        <v>200</v>
      </c>
      <c r="J467" s="183">
        <f t="shared" si="56"/>
        <v>0</v>
      </c>
      <c r="K467" s="181">
        <f t="shared" si="56"/>
        <v>167.4</v>
      </c>
      <c r="L467" s="182">
        <f t="shared" si="56"/>
        <v>167.4</v>
      </c>
      <c r="M467" s="180">
        <f t="shared" si="56"/>
        <v>0</v>
      </c>
      <c r="N467" s="181">
        <f t="shared" si="56"/>
        <v>32.599999999999994</v>
      </c>
      <c r="O467" s="182">
        <f t="shared" si="56"/>
        <v>32.599999999999994</v>
      </c>
    </row>
    <row r="468" spans="1:15" ht="40.5" customHeight="1" thickBot="1">
      <c r="A468" s="75" t="s">
        <v>858</v>
      </c>
      <c r="B468" s="76" t="s">
        <v>550</v>
      </c>
      <c r="C468" s="76" t="s">
        <v>857</v>
      </c>
      <c r="D468" s="77"/>
      <c r="E468" s="78"/>
      <c r="F468" s="143" t="s">
        <v>861</v>
      </c>
      <c r="G468" s="42"/>
      <c r="H468" s="38">
        <v>200</v>
      </c>
      <c r="I468" s="39">
        <f>SUM(G468:H468)</f>
        <v>200</v>
      </c>
      <c r="J468" s="37"/>
      <c r="K468" s="38">
        <v>167.4</v>
      </c>
      <c r="L468" s="39">
        <f>J468+K468</f>
        <v>167.4</v>
      </c>
      <c r="M468" s="42">
        <f>G467-J467</f>
        <v>0</v>
      </c>
      <c r="N468" s="38">
        <f>H467-K467</f>
        <v>32.599999999999994</v>
      </c>
      <c r="O468" s="39">
        <f>SUM(M468:N468)</f>
        <v>32.599999999999994</v>
      </c>
    </row>
    <row r="469" spans="1:15" ht="13.5" thickBot="1">
      <c r="A469" s="171" t="s">
        <v>739</v>
      </c>
      <c r="B469" s="172"/>
      <c r="C469" s="172"/>
      <c r="D469" s="178"/>
      <c r="E469" s="179"/>
      <c r="F469" s="184"/>
      <c r="G469" s="180">
        <f>G470</f>
        <v>926</v>
      </c>
      <c r="H469" s="181">
        <f>H470</f>
        <v>15150</v>
      </c>
      <c r="I469" s="182">
        <f>I470</f>
        <v>16076</v>
      </c>
      <c r="J469" s="183">
        <f>SUM(J470:J473)</f>
        <v>925.5</v>
      </c>
      <c r="K469" s="181">
        <f>SUM(K470:K473)</f>
        <v>15122.08</v>
      </c>
      <c r="L469" s="182">
        <f>SUM(L470:L473)</f>
        <v>16047.58</v>
      </c>
      <c r="M469" s="180">
        <f>M470</f>
        <v>0.5</v>
      </c>
      <c r="N469" s="181">
        <f>N470</f>
        <v>27.920000000000073</v>
      </c>
      <c r="O469" s="182">
        <f>O470</f>
        <v>28.420000000000073</v>
      </c>
    </row>
    <row r="470" spans="1:15" ht="22.5">
      <c r="A470" s="239" t="s">
        <v>740</v>
      </c>
      <c r="B470" s="281" t="s">
        <v>550</v>
      </c>
      <c r="C470" s="281" t="s">
        <v>863</v>
      </c>
      <c r="D470" s="283"/>
      <c r="E470" s="211"/>
      <c r="F470" s="101" t="s">
        <v>841</v>
      </c>
      <c r="G470" s="250">
        <v>926</v>
      </c>
      <c r="H470" s="229">
        <f>5000+10150</f>
        <v>15150</v>
      </c>
      <c r="I470" s="267">
        <f>SUM(G470:H470)</f>
        <v>16076</v>
      </c>
      <c r="J470" s="12">
        <v>394.5</v>
      </c>
      <c r="K470" s="13"/>
      <c r="L470" s="21">
        <f>J470+K470</f>
        <v>394.5</v>
      </c>
      <c r="M470" s="250">
        <f>G469-J469</f>
        <v>0.5</v>
      </c>
      <c r="N470" s="229">
        <f>H469-K469</f>
        <v>27.920000000000073</v>
      </c>
      <c r="O470" s="222">
        <f>SUM(M470:N470)</f>
        <v>28.420000000000073</v>
      </c>
    </row>
    <row r="471" spans="1:15" ht="22.5">
      <c r="A471" s="209"/>
      <c r="B471" s="260"/>
      <c r="C471" s="260"/>
      <c r="D471" s="241"/>
      <c r="E471" s="212"/>
      <c r="F471" s="142" t="s">
        <v>741</v>
      </c>
      <c r="G471" s="249"/>
      <c r="H471" s="235"/>
      <c r="I471" s="285"/>
      <c r="J471" s="15">
        <v>531</v>
      </c>
      <c r="K471" s="14"/>
      <c r="L471" s="31">
        <f>J471+K471</f>
        <v>531</v>
      </c>
      <c r="M471" s="249"/>
      <c r="N471" s="235"/>
      <c r="O471" s="285"/>
    </row>
    <row r="472" spans="1:15" ht="22.5">
      <c r="A472" s="209"/>
      <c r="B472" s="260"/>
      <c r="C472" s="260"/>
      <c r="D472" s="241"/>
      <c r="E472" s="212"/>
      <c r="F472" s="142" t="s">
        <v>109</v>
      </c>
      <c r="G472" s="249"/>
      <c r="H472" s="235"/>
      <c r="I472" s="285"/>
      <c r="J472" s="15"/>
      <c r="K472" s="93">
        <v>718</v>
      </c>
      <c r="L472" s="31">
        <f>J472+K472</f>
        <v>718</v>
      </c>
      <c r="M472" s="249"/>
      <c r="N472" s="235"/>
      <c r="O472" s="285"/>
    </row>
    <row r="473" spans="1:15" ht="23.25" thickBot="1">
      <c r="A473" s="240"/>
      <c r="B473" s="282"/>
      <c r="C473" s="282"/>
      <c r="D473" s="284"/>
      <c r="E473" s="214"/>
      <c r="F473" s="143" t="s">
        <v>862</v>
      </c>
      <c r="G473" s="253"/>
      <c r="H473" s="230"/>
      <c r="I473" s="268"/>
      <c r="J473" s="83"/>
      <c r="K473" s="152">
        <v>14404.08</v>
      </c>
      <c r="L473" s="50">
        <f>J473+K473</f>
        <v>14404.08</v>
      </c>
      <c r="M473" s="253"/>
      <c r="N473" s="230"/>
      <c r="O473" s="225"/>
    </row>
    <row r="474" spans="1:15" ht="13.5" thickBot="1">
      <c r="A474" s="171" t="s">
        <v>742</v>
      </c>
      <c r="B474" s="172"/>
      <c r="C474" s="172"/>
      <c r="D474" s="178"/>
      <c r="E474" s="179"/>
      <c r="F474" s="186"/>
      <c r="G474" s="180">
        <f>G475</f>
        <v>915</v>
      </c>
      <c r="H474" s="181">
        <f>H475</f>
        <v>9486</v>
      </c>
      <c r="I474" s="182">
        <f>I475</f>
        <v>10401</v>
      </c>
      <c r="J474" s="183">
        <f>SUM(J475:J478)</f>
        <v>808.5</v>
      </c>
      <c r="K474" s="181">
        <f>SUM(K475:K478)</f>
        <v>8868.96</v>
      </c>
      <c r="L474" s="182">
        <f>SUM(L475:L478)</f>
        <v>9677.46</v>
      </c>
      <c r="M474" s="180">
        <f>M475</f>
        <v>106.5</v>
      </c>
      <c r="N474" s="181">
        <f>N475</f>
        <v>617.0400000000009</v>
      </c>
      <c r="O474" s="182">
        <f>O475</f>
        <v>723.5400000000009</v>
      </c>
    </row>
    <row r="475" spans="1:15" ht="22.5">
      <c r="A475" s="239" t="s">
        <v>743</v>
      </c>
      <c r="B475" s="281" t="s">
        <v>550</v>
      </c>
      <c r="C475" s="281" t="s">
        <v>744</v>
      </c>
      <c r="D475" s="283"/>
      <c r="E475" s="211"/>
      <c r="F475" s="101" t="s">
        <v>842</v>
      </c>
      <c r="G475" s="250">
        <v>915</v>
      </c>
      <c r="H475" s="254">
        <v>9486</v>
      </c>
      <c r="I475" s="267">
        <f>SUM(G475:H475)</f>
        <v>10401</v>
      </c>
      <c r="J475" s="12"/>
      <c r="K475" s="13">
        <v>558</v>
      </c>
      <c r="L475" s="21">
        <f>J475+K475</f>
        <v>558</v>
      </c>
      <c r="M475" s="250">
        <f>G474-J474</f>
        <v>106.5</v>
      </c>
      <c r="N475" s="254">
        <f>H474-K474</f>
        <v>617.0400000000009</v>
      </c>
      <c r="O475" s="222">
        <f>SUM(M475:N475)</f>
        <v>723.5400000000009</v>
      </c>
    </row>
    <row r="476" spans="1:15" ht="22.5">
      <c r="A476" s="209"/>
      <c r="B476" s="260"/>
      <c r="C476" s="260"/>
      <c r="D476" s="241"/>
      <c r="E476" s="212"/>
      <c r="F476" s="142" t="s">
        <v>843</v>
      </c>
      <c r="G476" s="251"/>
      <c r="H476" s="255"/>
      <c r="I476" s="285"/>
      <c r="J476" s="15">
        <v>582.5</v>
      </c>
      <c r="K476" s="14"/>
      <c r="L476" s="31">
        <f>J476+K476</f>
        <v>582.5</v>
      </c>
      <c r="M476" s="251"/>
      <c r="N476" s="255"/>
      <c r="O476" s="223"/>
    </row>
    <row r="477" spans="1:15" ht="22.5">
      <c r="A477" s="209"/>
      <c r="B477" s="260"/>
      <c r="C477" s="260"/>
      <c r="D477" s="241"/>
      <c r="E477" s="212"/>
      <c r="F477" s="142" t="s">
        <v>745</v>
      </c>
      <c r="G477" s="252"/>
      <c r="H477" s="256"/>
      <c r="I477" s="285"/>
      <c r="J477" s="15">
        <v>226</v>
      </c>
      <c r="K477" s="14"/>
      <c r="L477" s="31">
        <f>J477+K477</f>
        <v>226</v>
      </c>
      <c r="M477" s="252"/>
      <c r="N477" s="256"/>
      <c r="O477" s="224"/>
    </row>
    <row r="478" spans="1:15" ht="23.25" thickBot="1">
      <c r="A478" s="240"/>
      <c r="B478" s="282"/>
      <c r="C478" s="282"/>
      <c r="D478" s="284"/>
      <c r="E478" s="214"/>
      <c r="F478" s="143" t="s">
        <v>859</v>
      </c>
      <c r="G478" s="253"/>
      <c r="H478" s="257"/>
      <c r="I478" s="268"/>
      <c r="J478" s="83"/>
      <c r="K478" s="82">
        <v>8310.96</v>
      </c>
      <c r="L478" s="50">
        <f>J478+K478</f>
        <v>8310.96</v>
      </c>
      <c r="M478" s="253"/>
      <c r="N478" s="257"/>
      <c r="O478" s="225"/>
    </row>
    <row r="479" spans="1:15" ht="13.5" thickBot="1">
      <c r="A479" s="171" t="s">
        <v>746</v>
      </c>
      <c r="B479" s="172"/>
      <c r="C479" s="172"/>
      <c r="D479" s="178"/>
      <c r="E479" s="179"/>
      <c r="F479" s="186"/>
      <c r="G479" s="180">
        <f>G480</f>
        <v>510</v>
      </c>
      <c r="H479" s="181">
        <f>H480</f>
        <v>5000</v>
      </c>
      <c r="I479" s="182">
        <f>I480</f>
        <v>5510</v>
      </c>
      <c r="J479" s="183">
        <f>SUM(J480:J484)</f>
        <v>58.75</v>
      </c>
      <c r="K479" s="181">
        <f>SUM(K480:K484)</f>
        <v>1437.12</v>
      </c>
      <c r="L479" s="182">
        <f>SUM(L480:L484)</f>
        <v>1495.87</v>
      </c>
      <c r="M479" s="180">
        <f>M480</f>
        <v>451.25</v>
      </c>
      <c r="N479" s="181">
        <f>N480</f>
        <v>3562.88</v>
      </c>
      <c r="O479" s="182">
        <f>O480</f>
        <v>4014.13</v>
      </c>
    </row>
    <row r="480" spans="1:15" ht="22.5">
      <c r="A480" s="239" t="s">
        <v>747</v>
      </c>
      <c r="B480" s="281" t="s">
        <v>550</v>
      </c>
      <c r="C480" s="281" t="s">
        <v>748</v>
      </c>
      <c r="D480" s="283"/>
      <c r="E480" s="211"/>
      <c r="F480" s="101" t="s">
        <v>749</v>
      </c>
      <c r="G480" s="250">
        <v>510</v>
      </c>
      <c r="H480" s="254">
        <v>5000</v>
      </c>
      <c r="I480" s="267">
        <f>SUM(G480:H480)</f>
        <v>5510</v>
      </c>
      <c r="J480" s="12"/>
      <c r="K480" s="13">
        <v>119.52</v>
      </c>
      <c r="L480" s="21">
        <f>J480+K480</f>
        <v>119.52</v>
      </c>
      <c r="M480" s="250">
        <f>G479-J479</f>
        <v>451.25</v>
      </c>
      <c r="N480" s="229">
        <f>H479-K479</f>
        <v>3562.88</v>
      </c>
      <c r="O480" s="222">
        <f>SUM(M480:N480)</f>
        <v>4014.13</v>
      </c>
    </row>
    <row r="481" spans="1:15" ht="22.5">
      <c r="A481" s="209"/>
      <c r="B481" s="260"/>
      <c r="C481" s="260"/>
      <c r="D481" s="241"/>
      <c r="E481" s="212"/>
      <c r="F481" s="142" t="s">
        <v>844</v>
      </c>
      <c r="G481" s="249"/>
      <c r="H481" s="286"/>
      <c r="I481" s="285"/>
      <c r="J481" s="15">
        <v>58.75</v>
      </c>
      <c r="K481" s="14"/>
      <c r="L481" s="31">
        <f>J481+K481</f>
        <v>58.75</v>
      </c>
      <c r="M481" s="249"/>
      <c r="N481" s="235"/>
      <c r="O481" s="285"/>
    </row>
    <row r="482" spans="1:15" ht="22.5">
      <c r="A482" s="209"/>
      <c r="B482" s="260"/>
      <c r="C482" s="260"/>
      <c r="D482" s="241"/>
      <c r="E482" s="212"/>
      <c r="F482" s="142" t="s">
        <v>284</v>
      </c>
      <c r="G482" s="249"/>
      <c r="H482" s="286"/>
      <c r="I482" s="285"/>
      <c r="J482" s="15"/>
      <c r="K482" s="93">
        <v>7.8</v>
      </c>
      <c r="L482" s="31">
        <f>J482+K482</f>
        <v>7.8</v>
      </c>
      <c r="M482" s="249"/>
      <c r="N482" s="235"/>
      <c r="O482" s="285"/>
    </row>
    <row r="483" spans="1:15" ht="22.5">
      <c r="A483" s="209"/>
      <c r="B483" s="260"/>
      <c r="C483" s="260"/>
      <c r="D483" s="241"/>
      <c r="E483" s="212"/>
      <c r="F483" s="142" t="s">
        <v>285</v>
      </c>
      <c r="G483" s="249"/>
      <c r="H483" s="286"/>
      <c r="I483" s="285"/>
      <c r="J483" s="15"/>
      <c r="K483" s="93">
        <v>49.8</v>
      </c>
      <c r="L483" s="31">
        <f>J483+K483</f>
        <v>49.8</v>
      </c>
      <c r="M483" s="249"/>
      <c r="N483" s="235"/>
      <c r="O483" s="285"/>
    </row>
    <row r="484" spans="1:15" ht="23.25" thickBot="1">
      <c r="A484" s="240"/>
      <c r="B484" s="282"/>
      <c r="C484" s="282"/>
      <c r="D484" s="284"/>
      <c r="E484" s="214"/>
      <c r="F484" s="143" t="s">
        <v>860</v>
      </c>
      <c r="G484" s="253"/>
      <c r="H484" s="257"/>
      <c r="I484" s="268"/>
      <c r="J484" s="83"/>
      <c r="K484" s="152">
        <v>1260</v>
      </c>
      <c r="L484" s="50">
        <f>J484+K484</f>
        <v>1260</v>
      </c>
      <c r="M484" s="253"/>
      <c r="N484" s="230"/>
      <c r="O484" s="225"/>
    </row>
    <row r="485" spans="1:15" ht="13.5" thickBot="1">
      <c r="A485" s="171" t="s">
        <v>750</v>
      </c>
      <c r="B485" s="172"/>
      <c r="C485" s="172"/>
      <c r="D485" s="178"/>
      <c r="E485" s="179"/>
      <c r="F485" s="185"/>
      <c r="G485" s="180">
        <f aca="true" t="shared" si="57" ref="G485:O485">G486</f>
        <v>211</v>
      </c>
      <c r="H485" s="181">
        <f t="shared" si="57"/>
        <v>5000</v>
      </c>
      <c r="I485" s="182">
        <f t="shared" si="57"/>
        <v>5211</v>
      </c>
      <c r="J485" s="183">
        <f t="shared" si="57"/>
        <v>51</v>
      </c>
      <c r="K485" s="181">
        <f t="shared" si="57"/>
        <v>0</v>
      </c>
      <c r="L485" s="182">
        <f t="shared" si="57"/>
        <v>51</v>
      </c>
      <c r="M485" s="180">
        <f t="shared" si="57"/>
        <v>160</v>
      </c>
      <c r="N485" s="181">
        <f t="shared" si="57"/>
        <v>5000</v>
      </c>
      <c r="O485" s="182">
        <f t="shared" si="57"/>
        <v>5160</v>
      </c>
    </row>
    <row r="486" spans="1:15" ht="34.5" thickBot="1">
      <c r="A486" s="75" t="s">
        <v>751</v>
      </c>
      <c r="B486" s="76" t="s">
        <v>550</v>
      </c>
      <c r="C486" s="76" t="s">
        <v>752</v>
      </c>
      <c r="D486" s="77"/>
      <c r="E486" s="78"/>
      <c r="F486" s="99" t="s">
        <v>845</v>
      </c>
      <c r="G486" s="42">
        <v>211</v>
      </c>
      <c r="H486" s="38">
        <v>5000</v>
      </c>
      <c r="I486" s="39">
        <f>SUM(G486:H486)</f>
        <v>5211</v>
      </c>
      <c r="J486" s="37">
        <v>51</v>
      </c>
      <c r="K486" s="38"/>
      <c r="L486" s="39">
        <f>J486+K486</f>
        <v>51</v>
      </c>
      <c r="M486" s="42">
        <f>G485-J485</f>
        <v>160</v>
      </c>
      <c r="N486" s="151">
        <f>H485-K485</f>
        <v>5000</v>
      </c>
      <c r="O486" s="39">
        <f>SUM(M486:N486)</f>
        <v>5160</v>
      </c>
    </row>
    <row r="487" spans="1:15" ht="13.5" thickBot="1">
      <c r="A487" s="171" t="s">
        <v>753</v>
      </c>
      <c r="B487" s="172"/>
      <c r="C487" s="172"/>
      <c r="D487" s="178"/>
      <c r="E487" s="179"/>
      <c r="F487" s="179"/>
      <c r="G487" s="180">
        <f>G488</f>
        <v>720</v>
      </c>
      <c r="H487" s="181">
        <f>H488</f>
        <v>1986</v>
      </c>
      <c r="I487" s="182">
        <f>I488</f>
        <v>2706</v>
      </c>
      <c r="J487" s="183">
        <f>SUM(J488:J491)</f>
        <v>605.9</v>
      </c>
      <c r="K487" s="181">
        <f>SUM(K488:K491)</f>
        <v>676.8</v>
      </c>
      <c r="L487" s="182">
        <f>SUM(L488:L491)</f>
        <v>1282.7</v>
      </c>
      <c r="M487" s="180">
        <f>M488</f>
        <v>114.10000000000002</v>
      </c>
      <c r="N487" s="181">
        <f>N488</f>
        <v>1309.2</v>
      </c>
      <c r="O487" s="182">
        <f>O488</f>
        <v>1423.3000000000002</v>
      </c>
    </row>
    <row r="488" spans="1:15" ht="22.5">
      <c r="A488" s="239" t="s">
        <v>671</v>
      </c>
      <c r="B488" s="273" t="s">
        <v>550</v>
      </c>
      <c r="C488" s="273" t="s">
        <v>286</v>
      </c>
      <c r="D488" s="303"/>
      <c r="E488" s="303"/>
      <c r="F488" s="90" t="s">
        <v>846</v>
      </c>
      <c r="G488" s="250">
        <v>720</v>
      </c>
      <c r="H488" s="229">
        <f>2400-414</f>
        <v>1986</v>
      </c>
      <c r="I488" s="267">
        <f>SUM(G488:H488)</f>
        <v>2706</v>
      </c>
      <c r="J488" s="12"/>
      <c r="K488" s="13">
        <v>112.8</v>
      </c>
      <c r="L488" s="21">
        <f>J488+K488</f>
        <v>112.8</v>
      </c>
      <c r="M488" s="250">
        <f>G487-J487</f>
        <v>114.10000000000002</v>
      </c>
      <c r="N488" s="254">
        <f>H487-K487</f>
        <v>1309.2</v>
      </c>
      <c r="O488" s="222">
        <f>SUM(M488:N488)</f>
        <v>1423.3000000000002</v>
      </c>
    </row>
    <row r="489" spans="1:15" ht="33.75">
      <c r="A489" s="209"/>
      <c r="B489" s="259"/>
      <c r="C489" s="259"/>
      <c r="D489" s="304"/>
      <c r="E489" s="304"/>
      <c r="F489" s="91" t="s">
        <v>847</v>
      </c>
      <c r="G489" s="251"/>
      <c r="H489" s="231"/>
      <c r="I489" s="285"/>
      <c r="J489" s="15"/>
      <c r="K489" s="14">
        <v>282</v>
      </c>
      <c r="L489" s="31">
        <f>J489+K489</f>
        <v>282</v>
      </c>
      <c r="M489" s="251"/>
      <c r="N489" s="255"/>
      <c r="O489" s="223"/>
    </row>
    <row r="490" spans="1:15" ht="33.75">
      <c r="A490" s="209"/>
      <c r="B490" s="259"/>
      <c r="C490" s="259"/>
      <c r="D490" s="304"/>
      <c r="E490" s="304"/>
      <c r="F490" s="91" t="s">
        <v>848</v>
      </c>
      <c r="G490" s="251"/>
      <c r="H490" s="231"/>
      <c r="I490" s="285"/>
      <c r="J490" s="15">
        <v>605.9</v>
      </c>
      <c r="K490" s="14"/>
      <c r="L490" s="31">
        <f>J490+K490</f>
        <v>605.9</v>
      </c>
      <c r="M490" s="251"/>
      <c r="N490" s="255"/>
      <c r="O490" s="223"/>
    </row>
    <row r="491" spans="1:15" ht="35.25" customHeight="1" thickBot="1">
      <c r="A491" s="240"/>
      <c r="B491" s="274"/>
      <c r="C491" s="274"/>
      <c r="D491" s="305"/>
      <c r="E491" s="305"/>
      <c r="F491" s="74" t="s">
        <v>849</v>
      </c>
      <c r="G491" s="253"/>
      <c r="H491" s="230"/>
      <c r="I491" s="268"/>
      <c r="J491" s="47"/>
      <c r="K491" s="63">
        <v>282</v>
      </c>
      <c r="L491" s="46">
        <f>J491+K491</f>
        <v>282</v>
      </c>
      <c r="M491" s="253"/>
      <c r="N491" s="257"/>
      <c r="O491" s="225"/>
    </row>
    <row r="492" spans="1:15" ht="13.5" thickBot="1">
      <c r="A492" s="171" t="s">
        <v>754</v>
      </c>
      <c r="B492" s="172"/>
      <c r="C492" s="172"/>
      <c r="D492" s="178"/>
      <c r="E492" s="179"/>
      <c r="F492" s="179"/>
      <c r="G492" s="180">
        <f>G493</f>
        <v>1072</v>
      </c>
      <c r="H492" s="181">
        <f>H493</f>
        <v>1697</v>
      </c>
      <c r="I492" s="182">
        <f>I493</f>
        <v>2769</v>
      </c>
      <c r="J492" s="183">
        <f>SUM(J493:J497)</f>
        <v>818</v>
      </c>
      <c r="K492" s="181">
        <f>SUM(K493:K497)</f>
        <v>1696.3</v>
      </c>
      <c r="L492" s="182">
        <f>SUM(L493:L497)</f>
        <v>2514.2999999999997</v>
      </c>
      <c r="M492" s="180">
        <f>M493</f>
        <v>254</v>
      </c>
      <c r="N492" s="181">
        <f>N493</f>
        <v>0.7000000000000455</v>
      </c>
      <c r="O492" s="182">
        <f>O493</f>
        <v>254.70000000000005</v>
      </c>
    </row>
    <row r="493" spans="1:15" ht="22.5">
      <c r="A493" s="239" t="s">
        <v>755</v>
      </c>
      <c r="B493" s="273" t="s">
        <v>550</v>
      </c>
      <c r="C493" s="273" t="s">
        <v>342</v>
      </c>
      <c r="D493" s="275"/>
      <c r="E493" s="303"/>
      <c r="F493" s="90" t="s">
        <v>756</v>
      </c>
      <c r="G493" s="250">
        <v>1072</v>
      </c>
      <c r="H493" s="229">
        <f>1072+209+416</f>
        <v>1697</v>
      </c>
      <c r="I493" s="267">
        <f>SUM(G493:H493)</f>
        <v>2769</v>
      </c>
      <c r="J493" s="12"/>
      <c r="K493" s="13">
        <v>1071.6</v>
      </c>
      <c r="L493" s="21">
        <f>J493+K493</f>
        <v>1071.6</v>
      </c>
      <c r="M493" s="250">
        <f>G492-J492</f>
        <v>254</v>
      </c>
      <c r="N493" s="229">
        <f>H492-K492</f>
        <v>0.7000000000000455</v>
      </c>
      <c r="O493" s="222">
        <f>SUM(M493:N493)</f>
        <v>254.70000000000005</v>
      </c>
    </row>
    <row r="494" spans="1:15" ht="22.5">
      <c r="A494" s="209"/>
      <c r="B494" s="259"/>
      <c r="C494" s="259"/>
      <c r="D494" s="233"/>
      <c r="E494" s="304"/>
      <c r="F494" s="91" t="s">
        <v>850</v>
      </c>
      <c r="G494" s="249"/>
      <c r="H494" s="235"/>
      <c r="I494" s="285"/>
      <c r="J494" s="64">
        <v>818</v>
      </c>
      <c r="K494" s="65"/>
      <c r="L494" s="51">
        <f>J494+K494</f>
        <v>818</v>
      </c>
      <c r="M494" s="249"/>
      <c r="N494" s="235"/>
      <c r="O494" s="285"/>
    </row>
    <row r="495" spans="1:15" ht="22.5">
      <c r="A495" s="209"/>
      <c r="B495" s="259"/>
      <c r="C495" s="259"/>
      <c r="D495" s="233"/>
      <c r="E495" s="304"/>
      <c r="F495" s="142" t="s">
        <v>287</v>
      </c>
      <c r="G495" s="249"/>
      <c r="H495" s="235"/>
      <c r="I495" s="285"/>
      <c r="J495" s="15"/>
      <c r="K495" s="93">
        <v>209.7</v>
      </c>
      <c r="L495" s="31">
        <f>J495+K495</f>
        <v>209.7</v>
      </c>
      <c r="M495" s="249"/>
      <c r="N495" s="235"/>
      <c r="O495" s="285"/>
    </row>
    <row r="496" spans="1:15" ht="22.5">
      <c r="A496" s="209"/>
      <c r="B496" s="259"/>
      <c r="C496" s="259"/>
      <c r="D496" s="233"/>
      <c r="E496" s="304"/>
      <c r="F496" s="142" t="s">
        <v>288</v>
      </c>
      <c r="G496" s="249"/>
      <c r="H496" s="235"/>
      <c r="I496" s="285"/>
      <c r="J496" s="15"/>
      <c r="K496" s="93">
        <v>380.78</v>
      </c>
      <c r="L496" s="31">
        <f>J496+K496</f>
        <v>380.78</v>
      </c>
      <c r="M496" s="249"/>
      <c r="N496" s="235"/>
      <c r="O496" s="285"/>
    </row>
    <row r="497" spans="1:15" ht="23.25" thickBot="1">
      <c r="A497" s="240"/>
      <c r="B497" s="274"/>
      <c r="C497" s="274"/>
      <c r="D497" s="276"/>
      <c r="E497" s="305"/>
      <c r="F497" s="143" t="s">
        <v>289</v>
      </c>
      <c r="G497" s="253"/>
      <c r="H497" s="230"/>
      <c r="I497" s="268"/>
      <c r="J497" s="83"/>
      <c r="K497" s="152">
        <v>34.22</v>
      </c>
      <c r="L497" s="50">
        <f>J497+K497</f>
        <v>34.22</v>
      </c>
      <c r="M497" s="253"/>
      <c r="N497" s="230"/>
      <c r="O497" s="225"/>
    </row>
    <row r="498" spans="1:15" ht="13.5" thickBot="1">
      <c r="A498" s="171" t="s">
        <v>757</v>
      </c>
      <c r="B498" s="172"/>
      <c r="C498" s="172"/>
      <c r="D498" s="178"/>
      <c r="E498" s="179"/>
      <c r="F498" s="179"/>
      <c r="G498" s="180">
        <f aca="true" t="shared" si="58" ref="G498:O498">G499</f>
        <v>310</v>
      </c>
      <c r="H498" s="181">
        <f t="shared" si="58"/>
        <v>1000</v>
      </c>
      <c r="I498" s="182">
        <f t="shared" si="58"/>
        <v>1310</v>
      </c>
      <c r="J498" s="183">
        <f t="shared" si="58"/>
        <v>189.6</v>
      </c>
      <c r="K498" s="181">
        <f t="shared" si="58"/>
        <v>0</v>
      </c>
      <c r="L498" s="182">
        <f t="shared" si="58"/>
        <v>189.6</v>
      </c>
      <c r="M498" s="180">
        <f t="shared" si="58"/>
        <v>120.4</v>
      </c>
      <c r="N498" s="181">
        <f t="shared" si="58"/>
        <v>1000</v>
      </c>
      <c r="O498" s="182">
        <f t="shared" si="58"/>
        <v>1120.4</v>
      </c>
    </row>
    <row r="499" spans="1:15" ht="58.5" customHeight="1" thickBot="1">
      <c r="A499" s="75" t="s">
        <v>758</v>
      </c>
      <c r="B499" s="128" t="s">
        <v>550</v>
      </c>
      <c r="C499" s="128" t="s">
        <v>759</v>
      </c>
      <c r="D499" s="129"/>
      <c r="E499" s="116"/>
      <c r="F499" s="99" t="s">
        <v>760</v>
      </c>
      <c r="G499" s="42">
        <v>310</v>
      </c>
      <c r="H499" s="38">
        <v>1000</v>
      </c>
      <c r="I499" s="39">
        <f>SUM(G499:H499)</f>
        <v>1310</v>
      </c>
      <c r="J499" s="37">
        <v>189.6</v>
      </c>
      <c r="K499" s="38"/>
      <c r="L499" s="39">
        <f>J499+K499</f>
        <v>189.6</v>
      </c>
      <c r="M499" s="42">
        <f>G498-J498</f>
        <v>120.4</v>
      </c>
      <c r="N499" s="38">
        <f>H498-K498</f>
        <v>1000</v>
      </c>
      <c r="O499" s="39">
        <f>SUM(M499:N499)</f>
        <v>1120.4</v>
      </c>
    </row>
    <row r="500" spans="1:15" ht="13.5" thickBot="1">
      <c r="A500" s="171" t="s">
        <v>761</v>
      </c>
      <c r="B500" s="172"/>
      <c r="C500" s="172"/>
      <c r="D500" s="178"/>
      <c r="E500" s="179"/>
      <c r="F500" s="184"/>
      <c r="G500" s="180">
        <f>G501</f>
        <v>6500</v>
      </c>
      <c r="H500" s="181">
        <f>H501</f>
        <v>8000</v>
      </c>
      <c r="I500" s="182">
        <f>I501</f>
        <v>14500</v>
      </c>
      <c r="J500" s="183">
        <f>SUM(J501:J503)</f>
        <v>6400.719999999999</v>
      </c>
      <c r="K500" s="181">
        <f>SUM(K501:K503)</f>
        <v>1711</v>
      </c>
      <c r="L500" s="182">
        <f>SUM(L501:L503)</f>
        <v>8111.719999999999</v>
      </c>
      <c r="M500" s="180">
        <f>M501</f>
        <v>99.28000000000065</v>
      </c>
      <c r="N500" s="181">
        <f>N501</f>
        <v>6289</v>
      </c>
      <c r="O500" s="182">
        <f>O501</f>
        <v>6388.280000000001</v>
      </c>
    </row>
    <row r="501" spans="1:15" ht="22.5">
      <c r="A501" s="239" t="s">
        <v>762</v>
      </c>
      <c r="B501" s="273" t="s">
        <v>550</v>
      </c>
      <c r="C501" s="273" t="s">
        <v>763</v>
      </c>
      <c r="D501" s="275"/>
      <c r="E501" s="310"/>
      <c r="F501" s="101" t="s">
        <v>764</v>
      </c>
      <c r="G501" s="250">
        <v>6500</v>
      </c>
      <c r="H501" s="254">
        <v>8000</v>
      </c>
      <c r="I501" s="267">
        <f>SUM(G501:H501)</f>
        <v>14500</v>
      </c>
      <c r="J501" s="12">
        <v>2832.72</v>
      </c>
      <c r="K501" s="13"/>
      <c r="L501" s="21">
        <f>J501+K501</f>
        <v>2832.72</v>
      </c>
      <c r="M501" s="250">
        <f>G500-J500</f>
        <v>99.28000000000065</v>
      </c>
      <c r="N501" s="254">
        <f>H500-K500</f>
        <v>6289</v>
      </c>
      <c r="O501" s="222">
        <f>SUM(M501:N501)</f>
        <v>6388.280000000001</v>
      </c>
    </row>
    <row r="502" spans="1:15" ht="33.75">
      <c r="A502" s="209"/>
      <c r="B502" s="259"/>
      <c r="C502" s="259"/>
      <c r="D502" s="233"/>
      <c r="E502" s="311"/>
      <c r="F502" s="167" t="s">
        <v>765</v>
      </c>
      <c r="G502" s="249"/>
      <c r="H502" s="286"/>
      <c r="I502" s="285"/>
      <c r="J502" s="15">
        <v>3568</v>
      </c>
      <c r="K502" s="14"/>
      <c r="L502" s="31">
        <f>J502+K502</f>
        <v>3568</v>
      </c>
      <c r="M502" s="249"/>
      <c r="N502" s="286"/>
      <c r="O502" s="285"/>
    </row>
    <row r="503" spans="1:15" ht="23.25" thickBot="1">
      <c r="A503" s="240"/>
      <c r="B503" s="274"/>
      <c r="C503" s="274"/>
      <c r="D503" s="276"/>
      <c r="E503" s="312"/>
      <c r="F503" s="143" t="s">
        <v>110</v>
      </c>
      <c r="G503" s="253"/>
      <c r="H503" s="257"/>
      <c r="I503" s="268"/>
      <c r="J503" s="83"/>
      <c r="K503" s="152">
        <v>1711</v>
      </c>
      <c r="L503" s="50">
        <f>J503+K503</f>
        <v>1711</v>
      </c>
      <c r="M503" s="253"/>
      <c r="N503" s="257"/>
      <c r="O503" s="225"/>
    </row>
    <row r="504" spans="1:15" ht="13.5" thickBot="1">
      <c r="A504" s="171" t="s">
        <v>766</v>
      </c>
      <c r="B504" s="172"/>
      <c r="C504" s="172"/>
      <c r="D504" s="178"/>
      <c r="E504" s="179"/>
      <c r="F504" s="186"/>
      <c r="G504" s="180">
        <f>G505</f>
        <v>3000</v>
      </c>
      <c r="H504" s="181">
        <f>H505</f>
        <v>8500</v>
      </c>
      <c r="I504" s="182">
        <f>I505</f>
        <v>11500</v>
      </c>
      <c r="J504" s="183">
        <f>SUM(J505:J508)</f>
        <v>2910.24</v>
      </c>
      <c r="K504" s="181">
        <f>SUM(K505:K508)</f>
        <v>3580.51</v>
      </c>
      <c r="L504" s="182">
        <f>SUM(L505:L508)</f>
        <v>6490.75</v>
      </c>
      <c r="M504" s="180">
        <f>M505</f>
        <v>89.76000000000022</v>
      </c>
      <c r="N504" s="181">
        <f>N505</f>
        <v>4919.49</v>
      </c>
      <c r="O504" s="182">
        <f>O505</f>
        <v>5009.25</v>
      </c>
    </row>
    <row r="505" spans="1:15" ht="33.75">
      <c r="A505" s="239" t="s">
        <v>16</v>
      </c>
      <c r="B505" s="273" t="s">
        <v>550</v>
      </c>
      <c r="C505" s="273" t="s">
        <v>222</v>
      </c>
      <c r="D505" s="303"/>
      <c r="E505" s="310"/>
      <c r="F505" s="101" t="s">
        <v>851</v>
      </c>
      <c r="G505" s="250">
        <v>3000</v>
      </c>
      <c r="H505" s="254">
        <v>8500</v>
      </c>
      <c r="I505" s="267">
        <f>SUM(G505:H505)</f>
        <v>11500</v>
      </c>
      <c r="J505" s="12">
        <v>1896.24</v>
      </c>
      <c r="K505" s="13"/>
      <c r="L505" s="21">
        <f>J505+K505</f>
        <v>1896.24</v>
      </c>
      <c r="M505" s="236">
        <f>G504-J504</f>
        <v>89.76000000000022</v>
      </c>
      <c r="N505" s="254">
        <f>H504-K504</f>
        <v>4919.49</v>
      </c>
      <c r="O505" s="222">
        <f>SUM(M505:N505)</f>
        <v>5009.25</v>
      </c>
    </row>
    <row r="506" spans="1:15" ht="22.5">
      <c r="A506" s="209"/>
      <c r="B506" s="259"/>
      <c r="C506" s="259"/>
      <c r="D506" s="304"/>
      <c r="E506" s="311"/>
      <c r="F506" s="142" t="s">
        <v>17</v>
      </c>
      <c r="G506" s="249"/>
      <c r="H506" s="286"/>
      <c r="I506" s="285"/>
      <c r="J506" s="15">
        <v>1014</v>
      </c>
      <c r="K506" s="14"/>
      <c r="L506" s="31">
        <f>J506+K506</f>
        <v>1014</v>
      </c>
      <c r="M506" s="237"/>
      <c r="N506" s="286"/>
      <c r="O506" s="285"/>
    </row>
    <row r="507" spans="1:15" ht="22.5">
      <c r="A507" s="209"/>
      <c r="B507" s="259"/>
      <c r="C507" s="259"/>
      <c r="D507" s="304"/>
      <c r="E507" s="311"/>
      <c r="F507" s="142" t="s">
        <v>112</v>
      </c>
      <c r="G507" s="249"/>
      <c r="H507" s="286"/>
      <c r="I507" s="285"/>
      <c r="J507" s="15"/>
      <c r="K507" s="93">
        <v>1314</v>
      </c>
      <c r="L507" s="31">
        <f>J507+K507</f>
        <v>1314</v>
      </c>
      <c r="M507" s="237"/>
      <c r="N507" s="286"/>
      <c r="O507" s="285"/>
    </row>
    <row r="508" spans="1:15" ht="34.5" thickBot="1">
      <c r="A508" s="240"/>
      <c r="B508" s="274"/>
      <c r="C508" s="274"/>
      <c r="D508" s="305"/>
      <c r="E508" s="312"/>
      <c r="F508" s="143" t="s">
        <v>880</v>
      </c>
      <c r="G508" s="253"/>
      <c r="H508" s="257"/>
      <c r="I508" s="268"/>
      <c r="J508" s="83"/>
      <c r="K508" s="152">
        <v>2266.51</v>
      </c>
      <c r="L508" s="50">
        <f>J508+K508</f>
        <v>2266.51</v>
      </c>
      <c r="M508" s="238"/>
      <c r="N508" s="257"/>
      <c r="O508" s="225"/>
    </row>
    <row r="509" spans="1:15" ht="13.5" thickBot="1">
      <c r="A509" s="171" t="s">
        <v>18</v>
      </c>
      <c r="B509" s="172"/>
      <c r="C509" s="172"/>
      <c r="D509" s="178"/>
      <c r="E509" s="179"/>
      <c r="F509" s="186"/>
      <c r="G509" s="180">
        <f>G510</f>
        <v>3202</v>
      </c>
      <c r="H509" s="181">
        <f>H510</f>
        <v>8000</v>
      </c>
      <c r="I509" s="182">
        <f>I510</f>
        <v>11202</v>
      </c>
      <c r="J509" s="183">
        <f>SUM(J510:J512)</f>
        <v>3201.4</v>
      </c>
      <c r="K509" s="181">
        <f>SUM(K510:K512)</f>
        <v>2223</v>
      </c>
      <c r="L509" s="182">
        <f>SUM(L510:L512)</f>
        <v>5424.4</v>
      </c>
      <c r="M509" s="180">
        <f>M510</f>
        <v>0.599999999999909</v>
      </c>
      <c r="N509" s="181">
        <f>N510</f>
        <v>5777</v>
      </c>
      <c r="O509" s="182">
        <f>O510</f>
        <v>5777.6</v>
      </c>
    </row>
    <row r="510" spans="1:15" ht="27.75" customHeight="1">
      <c r="A510" s="239" t="s">
        <v>19</v>
      </c>
      <c r="B510" s="273" t="s">
        <v>550</v>
      </c>
      <c r="C510" s="273" t="s">
        <v>111</v>
      </c>
      <c r="D510" s="303"/>
      <c r="E510" s="310"/>
      <c r="F510" s="101" t="s">
        <v>25</v>
      </c>
      <c r="G510" s="250">
        <f>3000+202</f>
        <v>3202</v>
      </c>
      <c r="H510" s="254">
        <v>8000</v>
      </c>
      <c r="I510" s="267">
        <f>SUM(G510:H510)</f>
        <v>11202</v>
      </c>
      <c r="J510" s="12">
        <v>1505.4</v>
      </c>
      <c r="K510" s="13"/>
      <c r="L510" s="21">
        <f>J510+K510</f>
        <v>1505.4</v>
      </c>
      <c r="M510" s="236">
        <f>G509-J509</f>
        <v>0.599999999999909</v>
      </c>
      <c r="N510" s="229">
        <f>H509-K509</f>
        <v>5777</v>
      </c>
      <c r="O510" s="222">
        <f>SUM(M510:N510)</f>
        <v>5777.6</v>
      </c>
    </row>
    <row r="511" spans="1:15" ht="22.5">
      <c r="A511" s="209"/>
      <c r="B511" s="259"/>
      <c r="C511" s="259"/>
      <c r="D511" s="304"/>
      <c r="E511" s="311"/>
      <c r="F511" s="142" t="s">
        <v>26</v>
      </c>
      <c r="G511" s="249"/>
      <c r="H511" s="286"/>
      <c r="I511" s="285"/>
      <c r="J511" s="15">
        <v>1696</v>
      </c>
      <c r="K511" s="14"/>
      <c r="L511" s="31">
        <f>J511+K511</f>
        <v>1696</v>
      </c>
      <c r="M511" s="237"/>
      <c r="N511" s="235"/>
      <c r="O511" s="285"/>
    </row>
    <row r="512" spans="1:15" ht="23.25" thickBot="1">
      <c r="A512" s="240"/>
      <c r="B512" s="274"/>
      <c r="C512" s="274"/>
      <c r="D512" s="305"/>
      <c r="E512" s="312"/>
      <c r="F512" s="143" t="s">
        <v>113</v>
      </c>
      <c r="G512" s="253"/>
      <c r="H512" s="257"/>
      <c r="I512" s="268"/>
      <c r="J512" s="83"/>
      <c r="K512" s="152">
        <v>2223</v>
      </c>
      <c r="L512" s="50">
        <f>J512+K512</f>
        <v>2223</v>
      </c>
      <c r="M512" s="238"/>
      <c r="N512" s="230"/>
      <c r="O512" s="225"/>
    </row>
    <row r="513" spans="1:15" ht="13.5" thickBot="1">
      <c r="A513" s="171" t="s">
        <v>27</v>
      </c>
      <c r="B513" s="172"/>
      <c r="C513" s="172"/>
      <c r="D513" s="178"/>
      <c r="E513" s="179"/>
      <c r="F513" s="186"/>
      <c r="G513" s="180">
        <f>G514</f>
        <v>8843</v>
      </c>
      <c r="H513" s="181">
        <f>H514</f>
        <v>12100</v>
      </c>
      <c r="I513" s="182">
        <f>I514</f>
        <v>20943</v>
      </c>
      <c r="J513" s="183">
        <f>SUM(J514:J521)</f>
        <v>8723.47</v>
      </c>
      <c r="K513" s="181">
        <f>SUM(K514:K521)</f>
        <v>7909.04</v>
      </c>
      <c r="L513" s="182">
        <f>SUM(L514:L521)</f>
        <v>16632.510000000002</v>
      </c>
      <c r="M513" s="180">
        <f>M514</f>
        <v>119.53000000000065</v>
      </c>
      <c r="N513" s="181">
        <f>N514</f>
        <v>4190.96</v>
      </c>
      <c r="O513" s="182">
        <f>O514</f>
        <v>4310.490000000001</v>
      </c>
    </row>
    <row r="514" spans="1:15" ht="33.75">
      <c r="A514" s="239" t="s">
        <v>28</v>
      </c>
      <c r="B514" s="273" t="s">
        <v>550</v>
      </c>
      <c r="C514" s="273" t="s">
        <v>154</v>
      </c>
      <c r="D514" s="303"/>
      <c r="E514" s="310"/>
      <c r="F514" s="101" t="s">
        <v>852</v>
      </c>
      <c r="G514" s="236">
        <f>9223-202-178</f>
        <v>8843</v>
      </c>
      <c r="H514" s="254">
        <f>12300-200</f>
        <v>12100</v>
      </c>
      <c r="I514" s="267">
        <f>SUM(G514:H514)</f>
        <v>20943</v>
      </c>
      <c r="J514" s="12">
        <v>230</v>
      </c>
      <c r="K514" s="13"/>
      <c r="L514" s="21">
        <f aca="true" t="shared" si="59" ref="L514:L521">J514+K514</f>
        <v>230</v>
      </c>
      <c r="M514" s="250">
        <f>G513-J513</f>
        <v>119.53000000000065</v>
      </c>
      <c r="N514" s="254">
        <f>H513-K513</f>
        <v>4190.96</v>
      </c>
      <c r="O514" s="222">
        <f>SUM(M514:N514)</f>
        <v>4310.490000000001</v>
      </c>
    </row>
    <row r="515" spans="1:15" ht="33.75">
      <c r="A515" s="209"/>
      <c r="B515" s="259"/>
      <c r="C515" s="259"/>
      <c r="D515" s="304"/>
      <c r="E515" s="311"/>
      <c r="F515" s="142" t="s">
        <v>853</v>
      </c>
      <c r="G515" s="289"/>
      <c r="H515" s="255"/>
      <c r="I515" s="285"/>
      <c r="J515" s="15">
        <v>3423.99</v>
      </c>
      <c r="K515" s="14"/>
      <c r="L515" s="31">
        <f t="shared" si="59"/>
        <v>3423.99</v>
      </c>
      <c r="M515" s="251"/>
      <c r="N515" s="255"/>
      <c r="O515" s="223"/>
    </row>
    <row r="516" spans="1:15" ht="22.5">
      <c r="A516" s="209"/>
      <c r="B516" s="259"/>
      <c r="C516" s="259"/>
      <c r="D516" s="304"/>
      <c r="E516" s="311"/>
      <c r="F516" s="142" t="s">
        <v>854</v>
      </c>
      <c r="G516" s="289"/>
      <c r="H516" s="255"/>
      <c r="I516" s="285"/>
      <c r="J516" s="15">
        <v>2013.48</v>
      </c>
      <c r="K516" s="14"/>
      <c r="L516" s="31">
        <f t="shared" si="59"/>
        <v>2013.48</v>
      </c>
      <c r="M516" s="251"/>
      <c r="N516" s="255"/>
      <c r="O516" s="223"/>
    </row>
    <row r="517" spans="1:15" ht="22.5">
      <c r="A517" s="209"/>
      <c r="B517" s="259"/>
      <c r="C517" s="259"/>
      <c r="D517" s="304"/>
      <c r="E517" s="311"/>
      <c r="F517" s="142" t="s">
        <v>855</v>
      </c>
      <c r="G517" s="289"/>
      <c r="H517" s="255"/>
      <c r="I517" s="285"/>
      <c r="J517" s="15">
        <v>605</v>
      </c>
      <c r="K517" s="14"/>
      <c r="L517" s="31">
        <f t="shared" si="59"/>
        <v>605</v>
      </c>
      <c r="M517" s="251"/>
      <c r="N517" s="255"/>
      <c r="O517" s="223"/>
    </row>
    <row r="518" spans="1:15" ht="22.5">
      <c r="A518" s="209"/>
      <c r="B518" s="259"/>
      <c r="C518" s="259"/>
      <c r="D518" s="304"/>
      <c r="E518" s="311"/>
      <c r="F518" s="142" t="s">
        <v>882</v>
      </c>
      <c r="G518" s="289"/>
      <c r="H518" s="255"/>
      <c r="I518" s="285"/>
      <c r="J518" s="15"/>
      <c r="K518" s="14">
        <v>7256</v>
      </c>
      <c r="L518" s="31">
        <f t="shared" si="59"/>
        <v>7256</v>
      </c>
      <c r="M518" s="251"/>
      <c r="N518" s="255"/>
      <c r="O518" s="223"/>
    </row>
    <row r="519" spans="1:15" ht="22.5">
      <c r="A519" s="209"/>
      <c r="B519" s="259"/>
      <c r="C519" s="259"/>
      <c r="D519" s="304"/>
      <c r="E519" s="311"/>
      <c r="F519" s="142" t="s">
        <v>883</v>
      </c>
      <c r="G519" s="290"/>
      <c r="H519" s="256"/>
      <c r="I519" s="285"/>
      <c r="J519" s="15">
        <v>2451</v>
      </c>
      <c r="K519" s="14"/>
      <c r="L519" s="31">
        <f>J519+K519</f>
        <v>2451</v>
      </c>
      <c r="M519" s="252"/>
      <c r="N519" s="256"/>
      <c r="O519" s="224"/>
    </row>
    <row r="520" spans="1:15" ht="22.5">
      <c r="A520" s="209"/>
      <c r="B520" s="259"/>
      <c r="C520" s="259"/>
      <c r="D520" s="304"/>
      <c r="E520" s="311"/>
      <c r="F520" s="142" t="s">
        <v>114</v>
      </c>
      <c r="G520" s="290"/>
      <c r="H520" s="256"/>
      <c r="I520" s="285"/>
      <c r="J520" s="15"/>
      <c r="K520" s="93">
        <v>429</v>
      </c>
      <c r="L520" s="31">
        <f>J520+K520</f>
        <v>429</v>
      </c>
      <c r="M520" s="252"/>
      <c r="N520" s="256"/>
      <c r="O520" s="224"/>
    </row>
    <row r="521" spans="1:15" ht="23.25" thickBot="1">
      <c r="A521" s="240"/>
      <c r="B521" s="274"/>
      <c r="C521" s="274"/>
      <c r="D521" s="305"/>
      <c r="E521" s="312"/>
      <c r="F521" s="143" t="s">
        <v>153</v>
      </c>
      <c r="G521" s="238"/>
      <c r="H521" s="257"/>
      <c r="I521" s="268"/>
      <c r="J521" s="83"/>
      <c r="K521" s="261">
        <v>224.04</v>
      </c>
      <c r="L521" s="50">
        <f t="shared" si="59"/>
        <v>224.04</v>
      </c>
      <c r="M521" s="253"/>
      <c r="N521" s="257"/>
      <c r="O521" s="225"/>
    </row>
    <row r="522" spans="1:15" ht="13.5" thickBot="1">
      <c r="A522" s="171" t="s">
        <v>29</v>
      </c>
      <c r="B522" s="172"/>
      <c r="C522" s="172"/>
      <c r="D522" s="178"/>
      <c r="E522" s="179"/>
      <c r="F522" s="186"/>
      <c r="G522" s="180">
        <f>G523</f>
        <v>3620</v>
      </c>
      <c r="H522" s="181">
        <f>H523</f>
        <v>3500</v>
      </c>
      <c r="I522" s="182">
        <f>I523</f>
        <v>7120</v>
      </c>
      <c r="J522" s="183">
        <f>SUM(J523:J526)</f>
        <v>3564.8</v>
      </c>
      <c r="K522" s="181">
        <f>SUM(K523:K526)</f>
        <v>581</v>
      </c>
      <c r="L522" s="182">
        <f>SUM(L523:L526)</f>
        <v>4145.8</v>
      </c>
      <c r="M522" s="180">
        <f>M523</f>
        <v>55.19999999999982</v>
      </c>
      <c r="N522" s="181">
        <f>N523</f>
        <v>2919</v>
      </c>
      <c r="O522" s="182">
        <f>O523</f>
        <v>2974.2</v>
      </c>
    </row>
    <row r="523" spans="1:15" ht="33.75">
      <c r="A523" s="239" t="s">
        <v>30</v>
      </c>
      <c r="B523" s="273" t="s">
        <v>550</v>
      </c>
      <c r="C523" s="273" t="s">
        <v>567</v>
      </c>
      <c r="D523" s="303"/>
      <c r="E523" s="310"/>
      <c r="F523" s="101" t="s">
        <v>884</v>
      </c>
      <c r="G523" s="236">
        <f>3442+178</f>
        <v>3620</v>
      </c>
      <c r="H523" s="254">
        <v>3500</v>
      </c>
      <c r="I523" s="267">
        <f>SUM(G523:H523)</f>
        <v>7120</v>
      </c>
      <c r="J523" s="12">
        <v>368</v>
      </c>
      <c r="K523" s="13"/>
      <c r="L523" s="21">
        <f>J523+K523</f>
        <v>368</v>
      </c>
      <c r="M523" s="250">
        <f>G522-J522</f>
        <v>55.19999999999982</v>
      </c>
      <c r="N523" s="254">
        <f>H522-K522</f>
        <v>2919</v>
      </c>
      <c r="O523" s="222">
        <f>SUM(M523:N523)</f>
        <v>2974.2</v>
      </c>
    </row>
    <row r="524" spans="1:15" ht="33.75">
      <c r="A524" s="209"/>
      <c r="B524" s="259"/>
      <c r="C524" s="259"/>
      <c r="D524" s="304"/>
      <c r="E524" s="311"/>
      <c r="F524" s="142" t="s">
        <v>569</v>
      </c>
      <c r="G524" s="237"/>
      <c r="H524" s="286"/>
      <c r="I524" s="285"/>
      <c r="J524" s="15">
        <v>3020.8</v>
      </c>
      <c r="K524" s="14"/>
      <c r="L524" s="31">
        <f>J524+K524</f>
        <v>3020.8</v>
      </c>
      <c r="M524" s="249"/>
      <c r="N524" s="286"/>
      <c r="O524" s="285"/>
    </row>
    <row r="525" spans="1:15" ht="22.5">
      <c r="A525" s="209"/>
      <c r="B525" s="259"/>
      <c r="C525" s="259"/>
      <c r="D525" s="304"/>
      <c r="E525" s="311"/>
      <c r="F525" s="142" t="s">
        <v>115</v>
      </c>
      <c r="G525" s="237"/>
      <c r="H525" s="286"/>
      <c r="I525" s="285"/>
      <c r="J525" s="15"/>
      <c r="K525" s="93">
        <v>581</v>
      </c>
      <c r="L525" s="31">
        <f>J525+K525</f>
        <v>581</v>
      </c>
      <c r="M525" s="249"/>
      <c r="N525" s="286"/>
      <c r="O525" s="285"/>
    </row>
    <row r="526" spans="1:15" ht="23.25" thickBot="1">
      <c r="A526" s="240"/>
      <c r="B526" s="274"/>
      <c r="C526" s="274"/>
      <c r="D526" s="305"/>
      <c r="E526" s="312"/>
      <c r="F526" s="143" t="s">
        <v>568</v>
      </c>
      <c r="G526" s="238"/>
      <c r="H526" s="257"/>
      <c r="I526" s="268"/>
      <c r="J526" s="193">
        <v>176</v>
      </c>
      <c r="K526" s="152"/>
      <c r="L526" s="50">
        <f>J526+K526</f>
        <v>176</v>
      </c>
      <c r="M526" s="253"/>
      <c r="N526" s="257"/>
      <c r="O526" s="225"/>
    </row>
    <row r="527" spans="1:15" ht="13.5" thickBot="1">
      <c r="A527" s="171" t="s">
        <v>31</v>
      </c>
      <c r="B527" s="172"/>
      <c r="C527" s="172"/>
      <c r="D527" s="178"/>
      <c r="E527" s="179"/>
      <c r="F527" s="189"/>
      <c r="G527" s="180">
        <f>G528</f>
        <v>2000</v>
      </c>
      <c r="H527" s="181">
        <f>H528</f>
        <v>10000</v>
      </c>
      <c r="I527" s="182">
        <f>I528</f>
        <v>12000</v>
      </c>
      <c r="J527" s="183">
        <f>SUM(J528:J530)</f>
        <v>1290</v>
      </c>
      <c r="K527" s="181">
        <f>SUM(K528:K530)</f>
        <v>5799</v>
      </c>
      <c r="L527" s="182">
        <f>L528</f>
        <v>1290</v>
      </c>
      <c r="M527" s="180">
        <f>M528</f>
        <v>710</v>
      </c>
      <c r="N527" s="181">
        <f>N528</f>
        <v>4201</v>
      </c>
      <c r="O527" s="182">
        <f>O528</f>
        <v>4911</v>
      </c>
    </row>
    <row r="528" spans="1:15" ht="36" customHeight="1">
      <c r="A528" s="273" t="s">
        <v>32</v>
      </c>
      <c r="B528" s="273" t="s">
        <v>550</v>
      </c>
      <c r="C528" s="273" t="s">
        <v>583</v>
      </c>
      <c r="D528" s="275"/>
      <c r="E528" s="269"/>
      <c r="F528" s="101" t="s">
        <v>885</v>
      </c>
      <c r="G528" s="246">
        <v>2000</v>
      </c>
      <c r="H528" s="265">
        <v>10000</v>
      </c>
      <c r="I528" s="267">
        <f>SUM(G528:H528)</f>
        <v>12000</v>
      </c>
      <c r="J528" s="12">
        <v>1290</v>
      </c>
      <c r="K528" s="13"/>
      <c r="L528" s="21">
        <f>J528+K528</f>
        <v>1290</v>
      </c>
      <c r="M528" s="263">
        <f>G527-J527</f>
        <v>710</v>
      </c>
      <c r="N528" s="246">
        <f>H527-K527</f>
        <v>4201</v>
      </c>
      <c r="O528" s="226">
        <f>SUM(M528:N528)</f>
        <v>4911</v>
      </c>
    </row>
    <row r="529" spans="1:15" ht="30" customHeight="1">
      <c r="A529" s="259"/>
      <c r="B529" s="259"/>
      <c r="C529" s="259"/>
      <c r="D529" s="233"/>
      <c r="E529" s="234"/>
      <c r="F529" s="142" t="s">
        <v>116</v>
      </c>
      <c r="G529" s="249"/>
      <c r="H529" s="286"/>
      <c r="I529" s="285"/>
      <c r="J529" s="15"/>
      <c r="K529" s="93">
        <v>1687</v>
      </c>
      <c r="L529" s="31">
        <f>J529+K529</f>
        <v>1687</v>
      </c>
      <c r="M529" s="287"/>
      <c r="N529" s="249"/>
      <c r="O529" s="227"/>
    </row>
    <row r="530" spans="1:15" ht="30" customHeight="1" thickBot="1">
      <c r="A530" s="274"/>
      <c r="B530" s="274"/>
      <c r="C530" s="274"/>
      <c r="D530" s="276"/>
      <c r="E530" s="270"/>
      <c r="F530" s="143" t="s">
        <v>881</v>
      </c>
      <c r="G530" s="247"/>
      <c r="H530" s="266"/>
      <c r="I530" s="268"/>
      <c r="J530" s="83"/>
      <c r="K530" s="152">
        <v>4112</v>
      </c>
      <c r="L530" s="50">
        <f>J530+K530</f>
        <v>4112</v>
      </c>
      <c r="M530" s="264"/>
      <c r="N530" s="247"/>
      <c r="O530" s="228"/>
    </row>
    <row r="531" spans="1:15" ht="13.5" thickBot="1">
      <c r="A531" s="171" t="s">
        <v>33</v>
      </c>
      <c r="B531" s="172"/>
      <c r="C531" s="172"/>
      <c r="D531" s="178"/>
      <c r="E531" s="179"/>
      <c r="F531" s="190"/>
      <c r="G531" s="180">
        <f aca="true" t="shared" si="60" ref="G531:O531">G532</f>
        <v>0</v>
      </c>
      <c r="H531" s="181">
        <f t="shared" si="60"/>
        <v>5000</v>
      </c>
      <c r="I531" s="182">
        <f t="shared" si="60"/>
        <v>5000</v>
      </c>
      <c r="J531" s="183">
        <f t="shared" si="60"/>
        <v>0</v>
      </c>
      <c r="K531" s="181">
        <f t="shared" si="60"/>
        <v>0</v>
      </c>
      <c r="L531" s="182">
        <f t="shared" si="60"/>
        <v>0</v>
      </c>
      <c r="M531" s="180">
        <f t="shared" si="60"/>
        <v>0</v>
      </c>
      <c r="N531" s="181">
        <f t="shared" si="60"/>
        <v>5000</v>
      </c>
      <c r="O531" s="182">
        <f t="shared" si="60"/>
        <v>5000</v>
      </c>
    </row>
    <row r="532" spans="1:15" ht="58.5" customHeight="1" thickBot="1">
      <c r="A532" s="75" t="s">
        <v>34</v>
      </c>
      <c r="B532" s="128" t="s">
        <v>550</v>
      </c>
      <c r="C532" s="128" t="s">
        <v>578</v>
      </c>
      <c r="D532" s="116"/>
      <c r="E532" s="116"/>
      <c r="F532" s="129"/>
      <c r="G532" s="42"/>
      <c r="H532" s="38">
        <v>5000</v>
      </c>
      <c r="I532" s="39">
        <f>SUM(G532:H532)</f>
        <v>5000</v>
      </c>
      <c r="J532" s="37"/>
      <c r="K532" s="38"/>
      <c r="L532" s="39">
        <f>J532+K532</f>
        <v>0</v>
      </c>
      <c r="M532" s="42">
        <f>G531-J531</f>
        <v>0</v>
      </c>
      <c r="N532" s="38">
        <f>H531-K531</f>
        <v>5000</v>
      </c>
      <c r="O532" s="39">
        <f>SUM(M532:N532)</f>
        <v>5000</v>
      </c>
    </row>
    <row r="533" spans="1:15" ht="13.5" thickBot="1">
      <c r="A533" s="171" t="s">
        <v>35</v>
      </c>
      <c r="B533" s="172"/>
      <c r="C533" s="172"/>
      <c r="D533" s="178"/>
      <c r="E533" s="179"/>
      <c r="F533" s="178"/>
      <c r="G533" s="180">
        <f>G534</f>
        <v>3150</v>
      </c>
      <c r="H533" s="181">
        <f>H534</f>
        <v>5000</v>
      </c>
      <c r="I533" s="182">
        <f>I534</f>
        <v>8150</v>
      </c>
      <c r="J533" s="183">
        <f>SUM(J534:J535)</f>
        <v>3124.5</v>
      </c>
      <c r="K533" s="181">
        <f>SUM(K534:K535)</f>
        <v>0</v>
      </c>
      <c r="L533" s="182">
        <f>SUM(L534:L535)</f>
        <v>3124.5</v>
      </c>
      <c r="M533" s="180">
        <f>M534</f>
        <v>25.5</v>
      </c>
      <c r="N533" s="181">
        <f>N534</f>
        <v>5000</v>
      </c>
      <c r="O533" s="182">
        <f>O534</f>
        <v>5025.5</v>
      </c>
    </row>
    <row r="534" spans="1:15" ht="22.5">
      <c r="A534" s="258" t="s">
        <v>36</v>
      </c>
      <c r="B534" s="273" t="s">
        <v>550</v>
      </c>
      <c r="C534" s="273" t="s">
        <v>37</v>
      </c>
      <c r="D534" s="303"/>
      <c r="E534" s="303"/>
      <c r="F534" s="90" t="s">
        <v>886</v>
      </c>
      <c r="G534" s="250">
        <v>3150</v>
      </c>
      <c r="H534" s="254">
        <v>5000</v>
      </c>
      <c r="I534" s="267">
        <f>SUM(G534:H534)</f>
        <v>8150</v>
      </c>
      <c r="J534" s="12">
        <v>724.5</v>
      </c>
      <c r="K534" s="13"/>
      <c r="L534" s="21">
        <f>J534+K534</f>
        <v>724.5</v>
      </c>
      <c r="M534" s="250">
        <f>G533-J533</f>
        <v>25.5</v>
      </c>
      <c r="N534" s="229">
        <f>H533-K533</f>
        <v>5000</v>
      </c>
      <c r="O534" s="222">
        <f>SUM(M534:N534)</f>
        <v>5025.5</v>
      </c>
    </row>
    <row r="535" spans="1:15" ht="34.5" thickBot="1">
      <c r="A535" s="221"/>
      <c r="B535" s="274"/>
      <c r="C535" s="274"/>
      <c r="D535" s="305"/>
      <c r="E535" s="305"/>
      <c r="F535" s="74" t="s">
        <v>887</v>
      </c>
      <c r="G535" s="253"/>
      <c r="H535" s="257"/>
      <c r="I535" s="268"/>
      <c r="J535" s="47">
        <v>2400</v>
      </c>
      <c r="K535" s="63"/>
      <c r="L535" s="46">
        <f>J535+K535</f>
        <v>2400</v>
      </c>
      <c r="M535" s="253"/>
      <c r="N535" s="230"/>
      <c r="O535" s="225"/>
    </row>
    <row r="536" spans="1:15" ht="13.5" thickBot="1">
      <c r="A536" s="171" t="s">
        <v>38</v>
      </c>
      <c r="B536" s="172"/>
      <c r="C536" s="172"/>
      <c r="D536" s="178"/>
      <c r="E536" s="179"/>
      <c r="F536" s="178"/>
      <c r="G536" s="180">
        <f aca="true" t="shared" si="61" ref="G536:O536">G537</f>
        <v>1094</v>
      </c>
      <c r="H536" s="181">
        <f t="shared" si="61"/>
        <v>4936</v>
      </c>
      <c r="I536" s="182">
        <f t="shared" si="61"/>
        <v>6030</v>
      </c>
      <c r="J536" s="183">
        <f t="shared" si="61"/>
        <v>912</v>
      </c>
      <c r="K536" s="181">
        <f t="shared" si="61"/>
        <v>0</v>
      </c>
      <c r="L536" s="182">
        <f t="shared" si="61"/>
        <v>912</v>
      </c>
      <c r="M536" s="180">
        <f t="shared" si="61"/>
        <v>182</v>
      </c>
      <c r="N536" s="181">
        <f t="shared" si="61"/>
        <v>4936</v>
      </c>
      <c r="O536" s="182">
        <f t="shared" si="61"/>
        <v>5118</v>
      </c>
    </row>
    <row r="537" spans="1:15" ht="35.25" customHeight="1" thickBot="1">
      <c r="A537" s="75" t="s">
        <v>39</v>
      </c>
      <c r="B537" s="130" t="s">
        <v>550</v>
      </c>
      <c r="C537" s="130" t="s">
        <v>346</v>
      </c>
      <c r="D537" s="131"/>
      <c r="E537" s="132"/>
      <c r="F537" s="99" t="s">
        <v>40</v>
      </c>
      <c r="G537" s="42">
        <v>1094</v>
      </c>
      <c r="H537" s="38">
        <f>5000-64</f>
        <v>4936</v>
      </c>
      <c r="I537" s="39">
        <f>SUM(G537:H537)</f>
        <v>6030</v>
      </c>
      <c r="J537" s="37">
        <v>912</v>
      </c>
      <c r="K537" s="38"/>
      <c r="L537" s="39">
        <f>J537+K537</f>
        <v>912</v>
      </c>
      <c r="M537" s="42">
        <f>G536-J536</f>
        <v>182</v>
      </c>
      <c r="N537" s="151">
        <f>H536-K536</f>
        <v>4936</v>
      </c>
      <c r="O537" s="39">
        <f>SUM(M537:N537)</f>
        <v>5118</v>
      </c>
    </row>
    <row r="538" spans="1:15" ht="13.5" thickBot="1">
      <c r="A538" s="171" t="s">
        <v>344</v>
      </c>
      <c r="B538" s="172"/>
      <c r="C538" s="172"/>
      <c r="D538" s="178"/>
      <c r="E538" s="179"/>
      <c r="F538" s="178"/>
      <c r="G538" s="180">
        <f aca="true" t="shared" si="62" ref="G538:O538">G539</f>
        <v>0</v>
      </c>
      <c r="H538" s="181">
        <f t="shared" si="62"/>
        <v>64</v>
      </c>
      <c r="I538" s="182">
        <f t="shared" si="62"/>
        <v>64</v>
      </c>
      <c r="J538" s="183">
        <f t="shared" si="62"/>
        <v>0</v>
      </c>
      <c r="K538" s="181">
        <f t="shared" si="62"/>
        <v>63.8</v>
      </c>
      <c r="L538" s="182">
        <f t="shared" si="62"/>
        <v>63.8</v>
      </c>
      <c r="M538" s="180">
        <f t="shared" si="62"/>
        <v>0</v>
      </c>
      <c r="N538" s="181">
        <f t="shared" si="62"/>
        <v>0.20000000000000284</v>
      </c>
      <c r="O538" s="182">
        <f t="shared" si="62"/>
        <v>0.20000000000000284</v>
      </c>
    </row>
    <row r="539" spans="1:15" ht="35.25" customHeight="1" thickBot="1">
      <c r="A539" s="75" t="s">
        <v>343</v>
      </c>
      <c r="B539" s="130" t="s">
        <v>550</v>
      </c>
      <c r="C539" s="130" t="s">
        <v>345</v>
      </c>
      <c r="D539" s="131"/>
      <c r="E539" s="132"/>
      <c r="F539" s="142" t="s">
        <v>341</v>
      </c>
      <c r="G539" s="42"/>
      <c r="H539" s="151">
        <v>64</v>
      </c>
      <c r="I539" s="39">
        <f>SUM(G539:H539)</f>
        <v>64</v>
      </c>
      <c r="J539" s="37"/>
      <c r="K539" s="151">
        <v>63.8</v>
      </c>
      <c r="L539" s="39">
        <f>J539+K539</f>
        <v>63.8</v>
      </c>
      <c r="M539" s="42">
        <f>G538-J538</f>
        <v>0</v>
      </c>
      <c r="N539" s="38">
        <f>H538-K538</f>
        <v>0.20000000000000284</v>
      </c>
      <c r="O539" s="39">
        <f>SUM(M539:N539)</f>
        <v>0.20000000000000284</v>
      </c>
    </row>
    <row r="540" spans="1:15" ht="13.5" thickBot="1">
      <c r="A540" s="171" t="s">
        <v>41</v>
      </c>
      <c r="B540" s="172"/>
      <c r="C540" s="172"/>
      <c r="D540" s="178"/>
      <c r="E540" s="179"/>
      <c r="F540" s="191"/>
      <c r="G540" s="180">
        <f>G541</f>
        <v>9900</v>
      </c>
      <c r="H540" s="181">
        <f>H541</f>
        <v>5000</v>
      </c>
      <c r="I540" s="182">
        <f>I541</f>
        <v>14900</v>
      </c>
      <c r="J540" s="183">
        <f>SUM(J541:J546)</f>
        <v>9817.59</v>
      </c>
      <c r="K540" s="181">
        <f>SUM(K541:K546)</f>
        <v>299.04</v>
      </c>
      <c r="L540" s="182">
        <f>SUM(L541:L546)</f>
        <v>10116.630000000001</v>
      </c>
      <c r="M540" s="180">
        <f>M541</f>
        <v>82.40999999999985</v>
      </c>
      <c r="N540" s="181">
        <f>N541</f>
        <v>4700.96</v>
      </c>
      <c r="O540" s="182">
        <f>O541</f>
        <v>4783.37</v>
      </c>
    </row>
    <row r="541" spans="1:15" ht="22.5">
      <c r="A541" s="239" t="s">
        <v>42</v>
      </c>
      <c r="B541" s="273" t="s">
        <v>550</v>
      </c>
      <c r="C541" s="273" t="s">
        <v>43</v>
      </c>
      <c r="D541" s="275"/>
      <c r="E541" s="310"/>
      <c r="F541" s="101" t="s">
        <v>44</v>
      </c>
      <c r="G541" s="250">
        <v>9900</v>
      </c>
      <c r="H541" s="254">
        <v>5000</v>
      </c>
      <c r="I541" s="267">
        <f>SUM(G541:H541)</f>
        <v>14900</v>
      </c>
      <c r="J541" s="12">
        <v>2309.16</v>
      </c>
      <c r="K541" s="13"/>
      <c r="L541" s="21">
        <f aca="true" t="shared" si="63" ref="L541:L546">J541+K541</f>
        <v>2309.16</v>
      </c>
      <c r="M541" s="250">
        <f>G540-J540</f>
        <v>82.40999999999985</v>
      </c>
      <c r="N541" s="229">
        <f>H540-K540</f>
        <v>4700.96</v>
      </c>
      <c r="O541" s="222">
        <f>SUM(M541:N541)</f>
        <v>4783.37</v>
      </c>
    </row>
    <row r="542" spans="1:15" ht="22.5">
      <c r="A542" s="209"/>
      <c r="B542" s="259"/>
      <c r="C542" s="259"/>
      <c r="D542" s="233"/>
      <c r="E542" s="311"/>
      <c r="F542" s="142" t="s">
        <v>45</v>
      </c>
      <c r="G542" s="251"/>
      <c r="H542" s="255"/>
      <c r="I542" s="285"/>
      <c r="J542" s="15">
        <v>75.91</v>
      </c>
      <c r="K542" s="14"/>
      <c r="L542" s="31">
        <f t="shared" si="63"/>
        <v>75.91</v>
      </c>
      <c r="M542" s="251"/>
      <c r="N542" s="231"/>
      <c r="O542" s="223"/>
    </row>
    <row r="543" spans="1:15" ht="22.5">
      <c r="A543" s="209"/>
      <c r="B543" s="259"/>
      <c r="C543" s="259"/>
      <c r="D543" s="233"/>
      <c r="E543" s="311"/>
      <c r="F543" s="142" t="s">
        <v>46</v>
      </c>
      <c r="G543" s="251"/>
      <c r="H543" s="255"/>
      <c r="I543" s="285"/>
      <c r="J543" s="15">
        <v>219.12</v>
      </c>
      <c r="K543" s="14"/>
      <c r="L543" s="31">
        <f t="shared" si="63"/>
        <v>219.12</v>
      </c>
      <c r="M543" s="251"/>
      <c r="N543" s="231"/>
      <c r="O543" s="223"/>
    </row>
    <row r="544" spans="1:15" ht="22.5">
      <c r="A544" s="209"/>
      <c r="B544" s="259"/>
      <c r="C544" s="259"/>
      <c r="D544" s="233"/>
      <c r="E544" s="311"/>
      <c r="F544" s="142" t="s">
        <v>47</v>
      </c>
      <c r="G544" s="251"/>
      <c r="H544" s="255"/>
      <c r="I544" s="285"/>
      <c r="J544" s="15">
        <v>3972.8</v>
      </c>
      <c r="K544" s="14"/>
      <c r="L544" s="31">
        <f t="shared" si="63"/>
        <v>3972.8</v>
      </c>
      <c r="M544" s="251"/>
      <c r="N544" s="231"/>
      <c r="O544" s="223"/>
    </row>
    <row r="545" spans="1:15" ht="22.5">
      <c r="A545" s="209"/>
      <c r="B545" s="259"/>
      <c r="C545" s="259"/>
      <c r="D545" s="233"/>
      <c r="E545" s="311"/>
      <c r="F545" s="142" t="s">
        <v>888</v>
      </c>
      <c r="G545" s="252"/>
      <c r="H545" s="256"/>
      <c r="I545" s="285"/>
      <c r="J545" s="15">
        <v>3240.6</v>
      </c>
      <c r="K545" s="14"/>
      <c r="L545" s="31">
        <f t="shared" si="63"/>
        <v>3240.6</v>
      </c>
      <c r="M545" s="252"/>
      <c r="N545" s="232"/>
      <c r="O545" s="224"/>
    </row>
    <row r="546" spans="1:15" ht="23.25" thickBot="1">
      <c r="A546" s="240"/>
      <c r="B546" s="274"/>
      <c r="C546" s="274"/>
      <c r="D546" s="276"/>
      <c r="E546" s="312"/>
      <c r="F546" s="143" t="s">
        <v>290</v>
      </c>
      <c r="G546" s="253"/>
      <c r="H546" s="257"/>
      <c r="I546" s="268"/>
      <c r="J546" s="83"/>
      <c r="K546" s="152">
        <v>299.04</v>
      </c>
      <c r="L546" s="50">
        <f t="shared" si="63"/>
        <v>299.04</v>
      </c>
      <c r="M546" s="253"/>
      <c r="N546" s="230"/>
      <c r="O546" s="225"/>
    </row>
    <row r="547" spans="1:15" ht="13.5" thickBot="1">
      <c r="A547" s="171" t="s">
        <v>48</v>
      </c>
      <c r="B547" s="172"/>
      <c r="C547" s="172"/>
      <c r="D547" s="178"/>
      <c r="E547" s="179"/>
      <c r="F547" s="190"/>
      <c r="G547" s="180">
        <f aca="true" t="shared" si="64" ref="G547:O547">G548</f>
        <v>150</v>
      </c>
      <c r="H547" s="181">
        <f t="shared" si="64"/>
        <v>3595</v>
      </c>
      <c r="I547" s="182">
        <f t="shared" si="64"/>
        <v>3745</v>
      </c>
      <c r="J547" s="183">
        <f t="shared" si="64"/>
        <v>133.2</v>
      </c>
      <c r="K547" s="181">
        <f t="shared" si="64"/>
        <v>0</v>
      </c>
      <c r="L547" s="182">
        <f t="shared" si="64"/>
        <v>133.2</v>
      </c>
      <c r="M547" s="180">
        <f t="shared" si="64"/>
        <v>16.80000000000001</v>
      </c>
      <c r="N547" s="181">
        <f t="shared" si="64"/>
        <v>3595</v>
      </c>
      <c r="O547" s="182">
        <f t="shared" si="64"/>
        <v>3611.8</v>
      </c>
    </row>
    <row r="548" spans="1:15" ht="28.5" customHeight="1" thickBot="1">
      <c r="A548" s="75" t="s">
        <v>49</v>
      </c>
      <c r="B548" s="128" t="s">
        <v>550</v>
      </c>
      <c r="C548" s="128" t="s">
        <v>827</v>
      </c>
      <c r="D548" s="129"/>
      <c r="E548" s="116"/>
      <c r="F548" s="99" t="s">
        <v>50</v>
      </c>
      <c r="G548" s="42">
        <v>150</v>
      </c>
      <c r="H548" s="38">
        <f>15000-8391-3014</f>
        <v>3595</v>
      </c>
      <c r="I548" s="39">
        <f>SUM(G548:H548)</f>
        <v>3745</v>
      </c>
      <c r="J548" s="37">
        <v>133.2</v>
      </c>
      <c r="K548" s="38"/>
      <c r="L548" s="39">
        <f>J548+K548</f>
        <v>133.2</v>
      </c>
      <c r="M548" s="42">
        <f>G547-J547</f>
        <v>16.80000000000001</v>
      </c>
      <c r="N548" s="151">
        <f>H547-K547</f>
        <v>3595</v>
      </c>
      <c r="O548" s="39">
        <f>SUM(M548:N548)</f>
        <v>3611.8</v>
      </c>
    </row>
    <row r="549" spans="1:15" ht="13.5" thickBot="1">
      <c r="A549" s="171" t="s">
        <v>51</v>
      </c>
      <c r="B549" s="172"/>
      <c r="C549" s="172"/>
      <c r="D549" s="178"/>
      <c r="E549" s="179"/>
      <c r="F549" s="178"/>
      <c r="G549" s="180">
        <f>G550</f>
        <v>890</v>
      </c>
      <c r="H549" s="181">
        <f>H550</f>
        <v>0</v>
      </c>
      <c r="I549" s="182">
        <f>I550</f>
        <v>890</v>
      </c>
      <c r="J549" s="183">
        <f>SUM(J550:J551)</f>
        <v>617.22</v>
      </c>
      <c r="K549" s="181">
        <f>SUM(K550:K551)</f>
        <v>0</v>
      </c>
      <c r="L549" s="182">
        <f>SUM(L550:L551)</f>
        <v>617.22</v>
      </c>
      <c r="M549" s="180">
        <f>M550</f>
        <v>272.78</v>
      </c>
      <c r="N549" s="181">
        <f>N550</f>
        <v>0</v>
      </c>
      <c r="O549" s="182">
        <f>O550</f>
        <v>272.78</v>
      </c>
    </row>
    <row r="550" spans="1:15" ht="22.5">
      <c r="A550" s="239" t="s">
        <v>270</v>
      </c>
      <c r="B550" s="273" t="s">
        <v>550</v>
      </c>
      <c r="C550" s="273" t="s">
        <v>826</v>
      </c>
      <c r="D550" s="275"/>
      <c r="E550" s="303"/>
      <c r="F550" s="90" t="s">
        <v>52</v>
      </c>
      <c r="G550" s="250">
        <v>890</v>
      </c>
      <c r="H550" s="254"/>
      <c r="I550" s="226">
        <f>SUM(G550:H550)</f>
        <v>890</v>
      </c>
      <c r="J550" s="13">
        <v>41.22</v>
      </c>
      <c r="K550" s="13"/>
      <c r="L550" s="117">
        <f>J550+K550</f>
        <v>41.22</v>
      </c>
      <c r="M550" s="254">
        <f>G549-J549</f>
        <v>272.78</v>
      </c>
      <c r="N550" s="229">
        <f>H549-K549</f>
        <v>0</v>
      </c>
      <c r="O550" s="222">
        <f>SUM(M550:N550)</f>
        <v>272.78</v>
      </c>
    </row>
    <row r="551" spans="1:15" ht="23.25" thickBot="1">
      <c r="A551" s="240"/>
      <c r="B551" s="274"/>
      <c r="C551" s="274"/>
      <c r="D551" s="276"/>
      <c r="E551" s="305"/>
      <c r="F551" s="74" t="s">
        <v>889</v>
      </c>
      <c r="G551" s="253"/>
      <c r="H551" s="257"/>
      <c r="I551" s="228"/>
      <c r="J551" s="63">
        <v>576</v>
      </c>
      <c r="K551" s="63"/>
      <c r="L551" s="118">
        <f>J551+K551</f>
        <v>576</v>
      </c>
      <c r="M551" s="257"/>
      <c r="N551" s="230"/>
      <c r="O551" s="225"/>
    </row>
    <row r="552" spans="1:15" ht="13.5" thickBot="1">
      <c r="A552" s="171" t="s">
        <v>53</v>
      </c>
      <c r="B552" s="172"/>
      <c r="C552" s="172"/>
      <c r="D552" s="178"/>
      <c r="E552" s="179"/>
      <c r="F552" s="178"/>
      <c r="G552" s="180">
        <f aca="true" t="shared" si="65" ref="G552:O552">G553</f>
        <v>0</v>
      </c>
      <c r="H552" s="181">
        <f t="shared" si="65"/>
        <v>996</v>
      </c>
      <c r="I552" s="182">
        <f t="shared" si="65"/>
        <v>996</v>
      </c>
      <c r="J552" s="183">
        <f t="shared" si="65"/>
        <v>0</v>
      </c>
      <c r="K552" s="181">
        <f t="shared" si="65"/>
        <v>995.05</v>
      </c>
      <c r="L552" s="182">
        <f t="shared" si="65"/>
        <v>995.05</v>
      </c>
      <c r="M552" s="180">
        <f t="shared" si="65"/>
        <v>0</v>
      </c>
      <c r="N552" s="181">
        <f t="shared" si="65"/>
        <v>0.9500000000000455</v>
      </c>
      <c r="O552" s="182">
        <f t="shared" si="65"/>
        <v>0.9500000000000455</v>
      </c>
    </row>
    <row r="553" spans="1:15" ht="35.25" customHeight="1" thickBot="1">
      <c r="A553" s="75" t="s">
        <v>54</v>
      </c>
      <c r="B553" s="128" t="s">
        <v>550</v>
      </c>
      <c r="C553" s="128" t="s">
        <v>825</v>
      </c>
      <c r="D553" s="129"/>
      <c r="E553" s="116"/>
      <c r="F553" s="99" t="s">
        <v>890</v>
      </c>
      <c r="G553" s="42"/>
      <c r="H553" s="38">
        <f>5996-5000</f>
        <v>996</v>
      </c>
      <c r="I553" s="39">
        <f>SUM(G553:H553)</f>
        <v>996</v>
      </c>
      <c r="J553" s="37"/>
      <c r="K553" s="38">
        <v>995.05</v>
      </c>
      <c r="L553" s="39">
        <f>J553+K553</f>
        <v>995.05</v>
      </c>
      <c r="M553" s="42">
        <f>G552-J552</f>
        <v>0</v>
      </c>
      <c r="N553" s="38">
        <f>H552-K552</f>
        <v>0.9500000000000455</v>
      </c>
      <c r="O553" s="39">
        <f>SUM(M553:N553)</f>
        <v>0.9500000000000455</v>
      </c>
    </row>
    <row r="554" spans="1:15" ht="13.5" thickBot="1">
      <c r="A554" s="171" t="s">
        <v>123</v>
      </c>
      <c r="B554" s="172"/>
      <c r="C554" s="172"/>
      <c r="D554" s="178"/>
      <c r="E554" s="179"/>
      <c r="F554" s="191"/>
      <c r="G554" s="180">
        <f>G555</f>
        <v>0</v>
      </c>
      <c r="H554" s="180">
        <f>H555</f>
        <v>11332</v>
      </c>
      <c r="I554" s="180">
        <f>I555</f>
        <v>11332</v>
      </c>
      <c r="J554" s="183">
        <f>SUM(J555:J556)</f>
        <v>0</v>
      </c>
      <c r="K554" s="181">
        <f>SUM(K555:K556)</f>
        <v>11324.48</v>
      </c>
      <c r="L554" s="182">
        <f>SUM(L555:L556)</f>
        <v>11324.48</v>
      </c>
      <c r="M554" s="180">
        <f>M555</f>
        <v>0</v>
      </c>
      <c r="N554" s="180">
        <f>N555</f>
        <v>7.520000000000437</v>
      </c>
      <c r="O554" s="262">
        <f>O555</f>
        <v>7.520000000000437</v>
      </c>
    </row>
    <row r="555" spans="1:15" ht="35.25" customHeight="1">
      <c r="A555" s="273" t="s">
        <v>97</v>
      </c>
      <c r="B555" s="273" t="s">
        <v>550</v>
      </c>
      <c r="C555" s="273" t="s">
        <v>152</v>
      </c>
      <c r="D555" s="275"/>
      <c r="E555" s="269"/>
      <c r="F555" s="101" t="s">
        <v>98</v>
      </c>
      <c r="G555" s="263"/>
      <c r="H555" s="271">
        <f>11132+200</f>
        <v>11332</v>
      </c>
      <c r="I555" s="267">
        <f>SUM(G555:H555)</f>
        <v>11332</v>
      </c>
      <c r="J555" s="12"/>
      <c r="K555" s="92">
        <v>11131.52</v>
      </c>
      <c r="L555" s="21">
        <f>J555+K555</f>
        <v>11131.52</v>
      </c>
      <c r="M555" s="263">
        <f>G554-J554</f>
        <v>0</v>
      </c>
      <c r="N555" s="265">
        <f>H554-K554</f>
        <v>7.520000000000437</v>
      </c>
      <c r="O555" s="267">
        <f>SUM(M555:N555)</f>
        <v>7.520000000000437</v>
      </c>
    </row>
    <row r="556" spans="1:15" ht="35.25" customHeight="1" thickBot="1">
      <c r="A556" s="274"/>
      <c r="B556" s="274"/>
      <c r="C556" s="274"/>
      <c r="D556" s="276"/>
      <c r="E556" s="270"/>
      <c r="F556" s="143" t="s">
        <v>151</v>
      </c>
      <c r="G556" s="264"/>
      <c r="H556" s="272"/>
      <c r="I556" s="268"/>
      <c r="J556" s="83"/>
      <c r="K556" s="261">
        <v>192.96</v>
      </c>
      <c r="L556" s="50">
        <f>J556+K556</f>
        <v>192.96</v>
      </c>
      <c r="M556" s="264"/>
      <c r="N556" s="266"/>
      <c r="O556" s="268"/>
    </row>
    <row r="557" spans="1:15" ht="13.5" thickBot="1">
      <c r="A557" s="171" t="s">
        <v>55</v>
      </c>
      <c r="B557" s="172"/>
      <c r="C557" s="172"/>
      <c r="D557" s="178"/>
      <c r="E557" s="179"/>
      <c r="F557" s="189"/>
      <c r="G557" s="180">
        <f>G558</f>
        <v>1663</v>
      </c>
      <c r="H557" s="181">
        <f>H558</f>
        <v>800</v>
      </c>
      <c r="I557" s="182">
        <f>I558</f>
        <v>2463</v>
      </c>
      <c r="J557" s="183">
        <f>SUM(J558:J560)</f>
        <v>1645.92</v>
      </c>
      <c r="K557" s="181">
        <f>SUM(K558:K560)</f>
        <v>737.4</v>
      </c>
      <c r="L557" s="182">
        <f>SUM(L558:L560)</f>
        <v>2383.32</v>
      </c>
      <c r="M557" s="180">
        <f>M558</f>
        <v>17.079999999999927</v>
      </c>
      <c r="N557" s="181">
        <f>N558</f>
        <v>62.60000000000002</v>
      </c>
      <c r="O557" s="182">
        <f>O558</f>
        <v>79.67999999999995</v>
      </c>
    </row>
    <row r="558" spans="1:15" ht="33.75">
      <c r="A558" s="239" t="s">
        <v>56</v>
      </c>
      <c r="B558" s="273" t="s">
        <v>550</v>
      </c>
      <c r="C558" s="273" t="s">
        <v>824</v>
      </c>
      <c r="D558" s="275"/>
      <c r="E558" s="310"/>
      <c r="F558" s="101" t="s">
        <v>57</v>
      </c>
      <c r="G558" s="250">
        <v>1663</v>
      </c>
      <c r="H558" s="254">
        <f>6200-3000-2400</f>
        <v>800</v>
      </c>
      <c r="I558" s="267">
        <f>SUM(G558:H558)</f>
        <v>2463</v>
      </c>
      <c r="J558" s="12">
        <v>132.72</v>
      </c>
      <c r="K558" s="13"/>
      <c r="L558" s="21">
        <f>J558+K558</f>
        <v>132.72</v>
      </c>
      <c r="M558" s="250">
        <f>G557-J557</f>
        <v>17.079999999999927</v>
      </c>
      <c r="N558" s="254">
        <f>H557-K557</f>
        <v>62.60000000000002</v>
      </c>
      <c r="O558" s="222">
        <f>SUM(M558:N558)</f>
        <v>79.67999999999995</v>
      </c>
    </row>
    <row r="559" spans="1:15" ht="22.5">
      <c r="A559" s="209"/>
      <c r="B559" s="259"/>
      <c r="C559" s="259"/>
      <c r="D559" s="233"/>
      <c r="E559" s="311"/>
      <c r="F559" s="142" t="s">
        <v>891</v>
      </c>
      <c r="G559" s="249"/>
      <c r="H559" s="286"/>
      <c r="I559" s="285"/>
      <c r="J559" s="15">
        <v>1513.2</v>
      </c>
      <c r="K559" s="14"/>
      <c r="L559" s="31">
        <f>J559+K559</f>
        <v>1513.2</v>
      </c>
      <c r="M559" s="249"/>
      <c r="N559" s="286"/>
      <c r="O559" s="285"/>
    </row>
    <row r="560" spans="1:15" ht="23.25" thickBot="1">
      <c r="A560" s="240"/>
      <c r="B560" s="274"/>
      <c r="C560" s="274"/>
      <c r="D560" s="276"/>
      <c r="E560" s="312"/>
      <c r="F560" s="143" t="s">
        <v>78</v>
      </c>
      <c r="G560" s="253"/>
      <c r="H560" s="257"/>
      <c r="I560" s="268"/>
      <c r="J560" s="83"/>
      <c r="K560" s="82">
        <v>737.4</v>
      </c>
      <c r="L560" s="50">
        <f>J560+K560</f>
        <v>737.4</v>
      </c>
      <c r="M560" s="253"/>
      <c r="N560" s="257"/>
      <c r="O560" s="225"/>
    </row>
    <row r="561" spans="1:15" ht="13.5" thickBot="1">
      <c r="A561" s="171" t="s">
        <v>58</v>
      </c>
      <c r="B561" s="172"/>
      <c r="C561" s="172"/>
      <c r="D561" s="178"/>
      <c r="E561" s="179"/>
      <c r="F561" s="189"/>
      <c r="G561" s="180">
        <f>G562</f>
        <v>10242</v>
      </c>
      <c r="H561" s="181">
        <f>H562</f>
        <v>11510</v>
      </c>
      <c r="I561" s="182">
        <f>I562</f>
        <v>21752</v>
      </c>
      <c r="J561" s="183">
        <f>SUM(J562:J570)</f>
        <v>10234.6</v>
      </c>
      <c r="K561" s="181">
        <f>SUM(K562:K570)</f>
        <v>10542.28</v>
      </c>
      <c r="L561" s="182">
        <f>SUM(L562:L570)</f>
        <v>20776.879999999997</v>
      </c>
      <c r="M561" s="180">
        <f>M562</f>
        <v>7.399999999999636</v>
      </c>
      <c r="N561" s="181">
        <f>N562</f>
        <v>967.7199999999993</v>
      </c>
      <c r="O561" s="182">
        <f>O562</f>
        <v>975.119999999999</v>
      </c>
    </row>
    <row r="562" spans="1:15" ht="22.5">
      <c r="A562" s="239" t="s">
        <v>60</v>
      </c>
      <c r="B562" s="273" t="s">
        <v>550</v>
      </c>
      <c r="C562" s="273" t="s">
        <v>307</v>
      </c>
      <c r="D562" s="275"/>
      <c r="E562" s="310"/>
      <c r="F562" s="101" t="s">
        <v>892</v>
      </c>
      <c r="G562" s="250">
        <v>10242</v>
      </c>
      <c r="H562" s="254">
        <f>16510-5000</f>
        <v>11510</v>
      </c>
      <c r="I562" s="267">
        <f>SUM(G562:H562)</f>
        <v>21752</v>
      </c>
      <c r="J562" s="12"/>
      <c r="K562" s="13">
        <v>612</v>
      </c>
      <c r="L562" s="21">
        <f aca="true" t="shared" si="66" ref="L562:L570">J562+K562</f>
        <v>612</v>
      </c>
      <c r="M562" s="250">
        <f>G561-J561</f>
        <v>7.399999999999636</v>
      </c>
      <c r="N562" s="254">
        <f>H561-K561</f>
        <v>967.7199999999993</v>
      </c>
      <c r="O562" s="222">
        <f>SUM(M562:N562)</f>
        <v>975.119999999999</v>
      </c>
    </row>
    <row r="563" spans="1:15" ht="33.75">
      <c r="A563" s="209"/>
      <c r="B563" s="259"/>
      <c r="C563" s="259"/>
      <c r="D563" s="233"/>
      <c r="E563" s="311"/>
      <c r="F563" s="142" t="s">
        <v>893</v>
      </c>
      <c r="G563" s="251"/>
      <c r="H563" s="255"/>
      <c r="I563" s="285"/>
      <c r="J563" s="15"/>
      <c r="K563" s="14">
        <v>5314.56</v>
      </c>
      <c r="L563" s="31">
        <f t="shared" si="66"/>
        <v>5314.56</v>
      </c>
      <c r="M563" s="251"/>
      <c r="N563" s="255"/>
      <c r="O563" s="223"/>
    </row>
    <row r="564" spans="1:15" ht="22.5">
      <c r="A564" s="209"/>
      <c r="B564" s="259"/>
      <c r="C564" s="259"/>
      <c r="D564" s="233"/>
      <c r="E564" s="311"/>
      <c r="F564" s="142" t="s">
        <v>61</v>
      </c>
      <c r="G564" s="251"/>
      <c r="H564" s="255"/>
      <c r="I564" s="285"/>
      <c r="J564" s="15"/>
      <c r="K564" s="14">
        <v>582</v>
      </c>
      <c r="L564" s="31">
        <f t="shared" si="66"/>
        <v>582</v>
      </c>
      <c r="M564" s="251"/>
      <c r="N564" s="255"/>
      <c r="O564" s="223"/>
    </row>
    <row r="565" spans="1:15" ht="22.5">
      <c r="A565" s="209"/>
      <c r="B565" s="259"/>
      <c r="C565" s="259"/>
      <c r="D565" s="233"/>
      <c r="E565" s="311"/>
      <c r="F565" s="142" t="s">
        <v>894</v>
      </c>
      <c r="G565" s="251"/>
      <c r="H565" s="255"/>
      <c r="I565" s="285"/>
      <c r="J565" s="15">
        <v>255.6</v>
      </c>
      <c r="K565" s="14"/>
      <c r="L565" s="31">
        <f t="shared" si="66"/>
        <v>255.6</v>
      </c>
      <c r="M565" s="251"/>
      <c r="N565" s="255"/>
      <c r="O565" s="223"/>
    </row>
    <row r="566" spans="1:15" ht="22.5">
      <c r="A566" s="209"/>
      <c r="B566" s="259"/>
      <c r="C566" s="259"/>
      <c r="D566" s="233"/>
      <c r="E566" s="311"/>
      <c r="F566" s="142" t="s">
        <v>895</v>
      </c>
      <c r="G566" s="251"/>
      <c r="H566" s="255"/>
      <c r="I566" s="285"/>
      <c r="J566" s="15">
        <v>5304</v>
      </c>
      <c r="K566" s="14"/>
      <c r="L566" s="31">
        <f t="shared" si="66"/>
        <v>5304</v>
      </c>
      <c r="M566" s="251"/>
      <c r="N566" s="255"/>
      <c r="O566" s="223"/>
    </row>
    <row r="567" spans="1:15" ht="22.5">
      <c r="A567" s="209"/>
      <c r="B567" s="259"/>
      <c r="C567" s="259"/>
      <c r="D567" s="233"/>
      <c r="E567" s="311"/>
      <c r="F567" s="142" t="s">
        <v>896</v>
      </c>
      <c r="G567" s="252"/>
      <c r="H567" s="256"/>
      <c r="I567" s="285"/>
      <c r="J567" s="15">
        <v>4675</v>
      </c>
      <c r="K567" s="14"/>
      <c r="L567" s="31">
        <f>J567+K567</f>
        <v>4675</v>
      </c>
      <c r="M567" s="252"/>
      <c r="N567" s="256"/>
      <c r="O567" s="224"/>
    </row>
    <row r="568" spans="1:15" ht="22.5">
      <c r="A568" s="209"/>
      <c r="B568" s="259"/>
      <c r="C568" s="259"/>
      <c r="D568" s="233"/>
      <c r="E568" s="311"/>
      <c r="F568" s="142" t="s">
        <v>117</v>
      </c>
      <c r="G568" s="252"/>
      <c r="H568" s="256"/>
      <c r="I568" s="285"/>
      <c r="J568" s="15"/>
      <c r="K568" s="93">
        <v>898</v>
      </c>
      <c r="L568" s="31">
        <f>J568+K568</f>
        <v>898</v>
      </c>
      <c r="M568" s="252"/>
      <c r="N568" s="256"/>
      <c r="O568" s="224"/>
    </row>
    <row r="569" spans="1:15" ht="22.5">
      <c r="A569" s="209"/>
      <c r="B569" s="259"/>
      <c r="C569" s="259"/>
      <c r="D569" s="233"/>
      <c r="E569" s="311"/>
      <c r="F569" s="142" t="s">
        <v>79</v>
      </c>
      <c r="G569" s="252"/>
      <c r="H569" s="256"/>
      <c r="I569" s="285"/>
      <c r="J569" s="15"/>
      <c r="K569" s="93">
        <v>2487.6</v>
      </c>
      <c r="L569" s="31">
        <f>J569+K569</f>
        <v>2487.6</v>
      </c>
      <c r="M569" s="252"/>
      <c r="N569" s="256"/>
      <c r="O569" s="224"/>
    </row>
    <row r="570" spans="1:15" ht="23.25" thickBot="1">
      <c r="A570" s="240"/>
      <c r="B570" s="274"/>
      <c r="C570" s="274"/>
      <c r="D570" s="276"/>
      <c r="E570" s="312"/>
      <c r="F570" s="143" t="s">
        <v>155</v>
      </c>
      <c r="G570" s="253"/>
      <c r="H570" s="257"/>
      <c r="I570" s="268"/>
      <c r="J570" s="193"/>
      <c r="K570" s="261">
        <v>648.12</v>
      </c>
      <c r="L570" s="50">
        <f t="shared" si="66"/>
        <v>648.12</v>
      </c>
      <c r="M570" s="253"/>
      <c r="N570" s="257"/>
      <c r="O570" s="225"/>
    </row>
    <row r="571" spans="1:15" ht="13.5" thickBot="1">
      <c r="A571" s="171" t="s">
        <v>62</v>
      </c>
      <c r="B571" s="172"/>
      <c r="C571" s="172"/>
      <c r="D571" s="178"/>
      <c r="E571" s="179"/>
      <c r="F571" s="189"/>
      <c r="G571" s="180">
        <f>G572</f>
        <v>1738</v>
      </c>
      <c r="H571" s="181">
        <f>H572</f>
        <v>630</v>
      </c>
      <c r="I571" s="182">
        <f>I572</f>
        <v>2368</v>
      </c>
      <c r="J571" s="183">
        <f>SUM(J572:J575)</f>
        <v>1738</v>
      </c>
      <c r="K571" s="181">
        <f>SUM(K572:K575)</f>
        <v>630</v>
      </c>
      <c r="L571" s="182">
        <f>SUM(L572:L575)</f>
        <v>2368</v>
      </c>
      <c r="M571" s="180">
        <f>M572</f>
        <v>0</v>
      </c>
      <c r="N571" s="181">
        <f>N572</f>
        <v>0</v>
      </c>
      <c r="O571" s="182">
        <f>O572</f>
        <v>0</v>
      </c>
    </row>
    <row r="572" spans="1:15" ht="22.5">
      <c r="A572" s="239" t="s">
        <v>63</v>
      </c>
      <c r="B572" s="273" t="s">
        <v>550</v>
      </c>
      <c r="C572" s="273" t="s">
        <v>823</v>
      </c>
      <c r="D572" s="275"/>
      <c r="E572" s="310"/>
      <c r="F572" s="101" t="s">
        <v>64</v>
      </c>
      <c r="G572" s="250">
        <v>1738</v>
      </c>
      <c r="H572" s="229">
        <f>8000-5000-210-2160</f>
        <v>630</v>
      </c>
      <c r="I572" s="267">
        <f>SUM(G572:H572)</f>
        <v>2368</v>
      </c>
      <c r="J572" s="12">
        <v>54</v>
      </c>
      <c r="K572" s="13"/>
      <c r="L572" s="21">
        <f>J572+K572</f>
        <v>54</v>
      </c>
      <c r="M572" s="250">
        <f>G571-J571</f>
        <v>0</v>
      </c>
      <c r="N572" s="254">
        <f>H571-K571</f>
        <v>0</v>
      </c>
      <c r="O572" s="222">
        <f>SUM(M572:N572)</f>
        <v>0</v>
      </c>
    </row>
    <row r="573" spans="1:15" ht="22.5">
      <c r="A573" s="209"/>
      <c r="B573" s="259"/>
      <c r="C573" s="259"/>
      <c r="D573" s="233"/>
      <c r="E573" s="311"/>
      <c r="F573" s="142" t="s">
        <v>855</v>
      </c>
      <c r="G573" s="251"/>
      <c r="H573" s="231"/>
      <c r="I573" s="285"/>
      <c r="J573" s="15"/>
      <c r="K573" s="14">
        <v>605</v>
      </c>
      <c r="L573" s="31">
        <f>J573+K573</f>
        <v>605</v>
      </c>
      <c r="M573" s="251"/>
      <c r="N573" s="255"/>
      <c r="O573" s="223"/>
    </row>
    <row r="574" spans="1:15" ht="22.5">
      <c r="A574" s="209"/>
      <c r="B574" s="259"/>
      <c r="C574" s="259"/>
      <c r="D574" s="233"/>
      <c r="E574" s="311"/>
      <c r="F574" s="142" t="s">
        <v>897</v>
      </c>
      <c r="G574" s="252"/>
      <c r="H574" s="232"/>
      <c r="I574" s="285"/>
      <c r="J574" s="15">
        <v>1684</v>
      </c>
      <c r="K574" s="14"/>
      <c r="L574" s="31">
        <f>J574+K574</f>
        <v>1684</v>
      </c>
      <c r="M574" s="252"/>
      <c r="N574" s="256"/>
      <c r="O574" s="224"/>
    </row>
    <row r="575" spans="1:15" ht="23.25" thickBot="1">
      <c r="A575" s="240"/>
      <c r="B575" s="274"/>
      <c r="C575" s="274"/>
      <c r="D575" s="276"/>
      <c r="E575" s="312"/>
      <c r="F575" s="143" t="s">
        <v>118</v>
      </c>
      <c r="G575" s="253"/>
      <c r="H575" s="230"/>
      <c r="I575" s="268"/>
      <c r="J575" s="83"/>
      <c r="K575" s="152">
        <v>25</v>
      </c>
      <c r="L575" s="50">
        <f>J575+K575</f>
        <v>25</v>
      </c>
      <c r="M575" s="253"/>
      <c r="N575" s="257"/>
      <c r="O575" s="225"/>
    </row>
    <row r="576" spans="1:15" ht="13.5" thickBot="1">
      <c r="A576" s="171" t="s">
        <v>65</v>
      </c>
      <c r="B576" s="172"/>
      <c r="C576" s="172"/>
      <c r="D576" s="178"/>
      <c r="E576" s="179"/>
      <c r="F576" s="190"/>
      <c r="G576" s="180">
        <f>G577</f>
        <v>129</v>
      </c>
      <c r="H576" s="181">
        <f>H577</f>
        <v>5110</v>
      </c>
      <c r="I576" s="182">
        <f>I577</f>
        <v>5239</v>
      </c>
      <c r="J576" s="183">
        <f>SUM(J577:J580)</f>
        <v>120.4</v>
      </c>
      <c r="K576" s="181">
        <f>SUM(K577:K580)</f>
        <v>5108.8</v>
      </c>
      <c r="L576" s="182">
        <f>SUM(L577:L580)</f>
        <v>5229.2</v>
      </c>
      <c r="M576" s="180">
        <f>M577</f>
        <v>8.599999999999994</v>
      </c>
      <c r="N576" s="181">
        <f>N577</f>
        <v>1.199999999999818</v>
      </c>
      <c r="O576" s="182">
        <f>O577</f>
        <v>9.799999999999812</v>
      </c>
    </row>
    <row r="577" spans="1:15" ht="22.5">
      <c r="A577" s="239" t="s">
        <v>66</v>
      </c>
      <c r="B577" s="273" t="s">
        <v>550</v>
      </c>
      <c r="C577" s="273" t="s">
        <v>100</v>
      </c>
      <c r="D577" s="275"/>
      <c r="E577" s="310"/>
      <c r="F577" s="101" t="s">
        <v>898</v>
      </c>
      <c r="G577" s="250">
        <v>129</v>
      </c>
      <c r="H577" s="229">
        <f>4900+210</f>
        <v>5110</v>
      </c>
      <c r="I577" s="267">
        <f>SUM(G577:H577)</f>
        <v>5239</v>
      </c>
      <c r="J577" s="12"/>
      <c r="K577" s="13">
        <v>4808.8</v>
      </c>
      <c r="L577" s="21">
        <f>J577+K577</f>
        <v>4808.8</v>
      </c>
      <c r="M577" s="250">
        <f>G576-J576</f>
        <v>8.599999999999994</v>
      </c>
      <c r="N577" s="254">
        <f>H576-K576</f>
        <v>1.199999999999818</v>
      </c>
      <c r="O577" s="222">
        <f>SUM(M577:N577)</f>
        <v>9.799999999999812</v>
      </c>
    </row>
    <row r="578" spans="1:15" ht="22.5">
      <c r="A578" s="209"/>
      <c r="B578" s="259"/>
      <c r="C578" s="259"/>
      <c r="D578" s="233"/>
      <c r="E578" s="311"/>
      <c r="F578" s="142" t="s">
        <v>67</v>
      </c>
      <c r="G578" s="251"/>
      <c r="H578" s="231"/>
      <c r="I578" s="285"/>
      <c r="J578" s="15">
        <v>20.4</v>
      </c>
      <c r="K578" s="14"/>
      <c r="L578" s="31">
        <f>J578+K578</f>
        <v>20.4</v>
      </c>
      <c r="M578" s="251"/>
      <c r="N578" s="255"/>
      <c r="O578" s="223"/>
    </row>
    <row r="579" spans="1:15" ht="22.5">
      <c r="A579" s="209"/>
      <c r="B579" s="259"/>
      <c r="C579" s="259"/>
      <c r="D579" s="233"/>
      <c r="E579" s="311"/>
      <c r="F579" s="142" t="s">
        <v>899</v>
      </c>
      <c r="G579" s="252"/>
      <c r="H579" s="232"/>
      <c r="I579" s="285"/>
      <c r="J579" s="15">
        <v>100</v>
      </c>
      <c r="K579" s="14"/>
      <c r="L579" s="31">
        <f>J579+K579</f>
        <v>100</v>
      </c>
      <c r="M579" s="252"/>
      <c r="N579" s="256"/>
      <c r="O579" s="224"/>
    </row>
    <row r="580" spans="1:15" ht="23.25" thickBot="1">
      <c r="A580" s="240"/>
      <c r="B580" s="274"/>
      <c r="C580" s="274"/>
      <c r="D580" s="276"/>
      <c r="E580" s="312"/>
      <c r="F580" s="143" t="s">
        <v>101</v>
      </c>
      <c r="G580" s="253"/>
      <c r="H580" s="230"/>
      <c r="I580" s="268"/>
      <c r="J580" s="83"/>
      <c r="K580" s="152">
        <v>300</v>
      </c>
      <c r="L580" s="50">
        <f>J580+K580</f>
        <v>300</v>
      </c>
      <c r="M580" s="253"/>
      <c r="N580" s="257"/>
      <c r="O580" s="225"/>
    </row>
    <row r="581" spans="1:15" ht="13.5" thickBot="1">
      <c r="A581" s="171" t="s">
        <v>68</v>
      </c>
      <c r="B581" s="172"/>
      <c r="C581" s="172"/>
      <c r="D581" s="178"/>
      <c r="E581" s="179"/>
      <c r="F581" s="191"/>
      <c r="G581" s="180">
        <f>G582</f>
        <v>500</v>
      </c>
      <c r="H581" s="181">
        <f>H582</f>
        <v>4855</v>
      </c>
      <c r="I581" s="182">
        <f>I582</f>
        <v>5355</v>
      </c>
      <c r="J581" s="183">
        <f>SUM(J582:J585)</f>
        <v>360</v>
      </c>
      <c r="K581" s="183">
        <f>SUM(K582:K585)</f>
        <v>4534.2</v>
      </c>
      <c r="L581" s="182">
        <f>SUM(L582:L585)</f>
        <v>4894.2</v>
      </c>
      <c r="M581" s="180">
        <f>M582</f>
        <v>140</v>
      </c>
      <c r="N581" s="181">
        <f>N582</f>
        <v>320.8000000000002</v>
      </c>
      <c r="O581" s="182">
        <f>O582</f>
        <v>460.8000000000002</v>
      </c>
    </row>
    <row r="582" spans="1:15" ht="36.75" customHeight="1">
      <c r="A582" s="273" t="s">
        <v>69</v>
      </c>
      <c r="B582" s="273" t="s">
        <v>550</v>
      </c>
      <c r="C582" s="273" t="s">
        <v>822</v>
      </c>
      <c r="D582" s="275"/>
      <c r="E582" s="269"/>
      <c r="F582" s="149" t="s">
        <v>70</v>
      </c>
      <c r="G582" s="246">
        <v>500</v>
      </c>
      <c r="H582" s="244">
        <f>165+1320+3050+3820-3500</f>
        <v>4855</v>
      </c>
      <c r="I582" s="267">
        <f>SUM(G582:H582)</f>
        <v>5355</v>
      </c>
      <c r="J582" s="12">
        <v>360</v>
      </c>
      <c r="K582" s="13"/>
      <c r="L582" s="21">
        <f>J582+K582</f>
        <v>360</v>
      </c>
      <c r="M582" s="263">
        <f>G581-J581</f>
        <v>140</v>
      </c>
      <c r="N582" s="244">
        <f>H581-K581</f>
        <v>320.8000000000002</v>
      </c>
      <c r="O582" s="267">
        <f>SUM(M582:N582)</f>
        <v>460.8000000000002</v>
      </c>
    </row>
    <row r="583" spans="1:15" ht="22.5">
      <c r="A583" s="259"/>
      <c r="B583" s="259"/>
      <c r="C583" s="259"/>
      <c r="D583" s="233"/>
      <c r="E583" s="234"/>
      <c r="F583" s="167" t="s">
        <v>291</v>
      </c>
      <c r="G583" s="249"/>
      <c r="H583" s="235"/>
      <c r="I583" s="285"/>
      <c r="J583" s="15"/>
      <c r="K583" s="93">
        <v>165</v>
      </c>
      <c r="L583" s="31">
        <f>J583+K583</f>
        <v>165</v>
      </c>
      <c r="M583" s="287"/>
      <c r="N583" s="235"/>
      <c r="O583" s="285"/>
    </row>
    <row r="584" spans="1:15" ht="22.5">
      <c r="A584" s="259"/>
      <c r="B584" s="259"/>
      <c r="C584" s="259"/>
      <c r="D584" s="233"/>
      <c r="E584" s="234"/>
      <c r="F584" s="167" t="s">
        <v>102</v>
      </c>
      <c r="G584" s="249"/>
      <c r="H584" s="235"/>
      <c r="I584" s="285"/>
      <c r="J584" s="15"/>
      <c r="K584" s="93">
        <v>1320</v>
      </c>
      <c r="L584" s="31">
        <f>J584+K584</f>
        <v>1320</v>
      </c>
      <c r="M584" s="287"/>
      <c r="N584" s="235"/>
      <c r="O584" s="285"/>
    </row>
    <row r="585" spans="1:15" ht="23.25" thickBot="1">
      <c r="A585" s="274"/>
      <c r="B585" s="274"/>
      <c r="C585" s="274"/>
      <c r="D585" s="276"/>
      <c r="E585" s="270"/>
      <c r="F585" s="170" t="s">
        <v>21</v>
      </c>
      <c r="G585" s="247"/>
      <c r="H585" s="245"/>
      <c r="I585" s="268"/>
      <c r="J585" s="83"/>
      <c r="K585" s="152">
        <v>3049.2</v>
      </c>
      <c r="L585" s="50">
        <f>J585+K585</f>
        <v>3049.2</v>
      </c>
      <c r="M585" s="264"/>
      <c r="N585" s="245"/>
      <c r="O585" s="268"/>
    </row>
    <row r="586" spans="1:15" ht="13.5" thickBot="1">
      <c r="A586" s="171" t="s">
        <v>868</v>
      </c>
      <c r="B586" s="172"/>
      <c r="C586" s="172"/>
      <c r="D586" s="178"/>
      <c r="E586" s="179"/>
      <c r="F586" s="190"/>
      <c r="G586" s="180">
        <f aca="true" t="shared" si="67" ref="G586:O588">G587</f>
        <v>0</v>
      </c>
      <c r="H586" s="181">
        <f t="shared" si="67"/>
        <v>1592</v>
      </c>
      <c r="I586" s="182">
        <f t="shared" si="67"/>
        <v>1592</v>
      </c>
      <c r="J586" s="183">
        <f t="shared" si="67"/>
        <v>0</v>
      </c>
      <c r="K586" s="181">
        <f t="shared" si="67"/>
        <v>1591.2</v>
      </c>
      <c r="L586" s="182">
        <f t="shared" si="67"/>
        <v>1591.2</v>
      </c>
      <c r="M586" s="180">
        <f t="shared" si="67"/>
        <v>0</v>
      </c>
      <c r="N586" s="181">
        <f t="shared" si="67"/>
        <v>0.7999999999999545</v>
      </c>
      <c r="O586" s="182">
        <f t="shared" si="67"/>
        <v>0.7999999999999545</v>
      </c>
    </row>
    <row r="587" spans="1:15" ht="23.25" thickBot="1">
      <c r="A587" s="72" t="s">
        <v>869</v>
      </c>
      <c r="B587" s="133" t="s">
        <v>550</v>
      </c>
      <c r="C587" s="133" t="s">
        <v>870</v>
      </c>
      <c r="D587" s="134"/>
      <c r="E587" s="135"/>
      <c r="F587" s="143" t="s">
        <v>871</v>
      </c>
      <c r="G587" s="42"/>
      <c r="H587" s="151">
        <v>1592</v>
      </c>
      <c r="I587" s="39">
        <f>SUM(G587:H587)</f>
        <v>1592</v>
      </c>
      <c r="J587" s="37"/>
      <c r="K587" s="192">
        <v>1591.2</v>
      </c>
      <c r="L587" s="39">
        <f>J587+K587</f>
        <v>1591.2</v>
      </c>
      <c r="M587" s="42">
        <f>G586-J586</f>
        <v>0</v>
      </c>
      <c r="N587" s="38">
        <f>H586-K586</f>
        <v>0.7999999999999545</v>
      </c>
      <c r="O587" s="39">
        <f>SUM(M587:N587)</f>
        <v>0.7999999999999545</v>
      </c>
    </row>
    <row r="588" spans="1:15" ht="13.5" thickBot="1">
      <c r="A588" s="171" t="s">
        <v>71</v>
      </c>
      <c r="B588" s="172"/>
      <c r="C588" s="172"/>
      <c r="D588" s="178"/>
      <c r="E588" s="179"/>
      <c r="F588" s="190"/>
      <c r="G588" s="180">
        <f t="shared" si="67"/>
        <v>150</v>
      </c>
      <c r="H588" s="181">
        <f t="shared" si="67"/>
        <v>13</v>
      </c>
      <c r="I588" s="182">
        <f t="shared" si="67"/>
        <v>163</v>
      </c>
      <c r="J588" s="183">
        <f t="shared" si="67"/>
        <v>150</v>
      </c>
      <c r="K588" s="181">
        <f t="shared" si="67"/>
        <v>0</v>
      </c>
      <c r="L588" s="182">
        <f t="shared" si="67"/>
        <v>150</v>
      </c>
      <c r="M588" s="180">
        <f t="shared" si="67"/>
        <v>0</v>
      </c>
      <c r="N588" s="181">
        <f t="shared" si="67"/>
        <v>13</v>
      </c>
      <c r="O588" s="182">
        <f t="shared" si="67"/>
        <v>13</v>
      </c>
    </row>
    <row r="589" spans="1:15" ht="24.75" thickBot="1">
      <c r="A589" s="72" t="s">
        <v>72</v>
      </c>
      <c r="B589" s="133" t="s">
        <v>550</v>
      </c>
      <c r="C589" s="133" t="s">
        <v>266</v>
      </c>
      <c r="D589" s="134"/>
      <c r="E589" s="135"/>
      <c r="F589" s="136" t="s">
        <v>73</v>
      </c>
      <c r="G589" s="42">
        <v>150</v>
      </c>
      <c r="H589" s="151">
        <f>5000-165-2-4820</f>
        <v>13</v>
      </c>
      <c r="I589" s="39">
        <f>SUM(G589:H589)</f>
        <v>163</v>
      </c>
      <c r="J589" s="37">
        <v>150</v>
      </c>
      <c r="K589" s="38"/>
      <c r="L589" s="39">
        <f>J589+K589</f>
        <v>150</v>
      </c>
      <c r="M589" s="42">
        <f>G588-J588</f>
        <v>0</v>
      </c>
      <c r="N589" s="38">
        <f>H588-K588</f>
        <v>13</v>
      </c>
      <c r="O589" s="39">
        <f>SUM(M589:N589)</f>
        <v>13</v>
      </c>
    </row>
    <row r="590" spans="1:15" ht="13.5" thickBot="1">
      <c r="A590" s="171" t="s">
        <v>74</v>
      </c>
      <c r="B590" s="172"/>
      <c r="C590" s="172"/>
      <c r="D590" s="178"/>
      <c r="E590" s="179"/>
      <c r="F590" s="178"/>
      <c r="G590" s="180">
        <f aca="true" t="shared" si="68" ref="G590:O590">G591</f>
        <v>1792</v>
      </c>
      <c r="H590" s="181">
        <f t="shared" si="68"/>
        <v>0</v>
      </c>
      <c r="I590" s="182">
        <f t="shared" si="68"/>
        <v>1792</v>
      </c>
      <c r="J590" s="183">
        <f t="shared" si="68"/>
        <v>1493</v>
      </c>
      <c r="K590" s="181">
        <f t="shared" si="68"/>
        <v>0</v>
      </c>
      <c r="L590" s="182">
        <f t="shared" si="68"/>
        <v>1493</v>
      </c>
      <c r="M590" s="180">
        <f t="shared" si="68"/>
        <v>299</v>
      </c>
      <c r="N590" s="181">
        <f t="shared" si="68"/>
        <v>0</v>
      </c>
      <c r="O590" s="182">
        <f t="shared" si="68"/>
        <v>299</v>
      </c>
    </row>
    <row r="591" spans="1:15" ht="60.75" thickBot="1">
      <c r="A591" s="72" t="s">
        <v>75</v>
      </c>
      <c r="B591" s="133" t="s">
        <v>550</v>
      </c>
      <c r="C591" s="133" t="s">
        <v>121</v>
      </c>
      <c r="D591" s="134"/>
      <c r="E591" s="135"/>
      <c r="F591" s="136" t="s">
        <v>76</v>
      </c>
      <c r="G591" s="42">
        <v>1792</v>
      </c>
      <c r="H591" s="38"/>
      <c r="I591" s="39">
        <f>SUM(G591:H591)</f>
        <v>1792</v>
      </c>
      <c r="J591" s="37">
        <v>1493</v>
      </c>
      <c r="K591" s="38"/>
      <c r="L591" s="39">
        <f>J591+K591</f>
        <v>1493</v>
      </c>
      <c r="M591" s="42">
        <f>G590-J590</f>
        <v>299</v>
      </c>
      <c r="N591" s="151">
        <f>H590-K590</f>
        <v>0</v>
      </c>
      <c r="O591" s="39">
        <f>SUM(M591:N591)</f>
        <v>299</v>
      </c>
    </row>
    <row r="592" spans="1:15" ht="13.5" thickBot="1">
      <c r="A592" s="171" t="s">
        <v>80</v>
      </c>
      <c r="B592" s="172"/>
      <c r="C592" s="172"/>
      <c r="D592" s="178"/>
      <c r="E592" s="179"/>
      <c r="F592" s="178"/>
      <c r="G592" s="180">
        <f aca="true" t="shared" si="69" ref="G592:O592">G593</f>
        <v>4000</v>
      </c>
      <c r="H592" s="181">
        <f t="shared" si="69"/>
        <v>1680</v>
      </c>
      <c r="I592" s="182">
        <f t="shared" si="69"/>
        <v>5680</v>
      </c>
      <c r="J592" s="183">
        <f t="shared" si="69"/>
        <v>3676.69</v>
      </c>
      <c r="K592" s="181">
        <f t="shared" si="69"/>
        <v>0</v>
      </c>
      <c r="L592" s="182">
        <f t="shared" si="69"/>
        <v>3676.69</v>
      </c>
      <c r="M592" s="180">
        <f t="shared" si="69"/>
        <v>323.30999999999995</v>
      </c>
      <c r="N592" s="181">
        <f t="shared" si="69"/>
        <v>1680</v>
      </c>
      <c r="O592" s="182">
        <f t="shared" si="69"/>
        <v>2003.31</v>
      </c>
    </row>
    <row r="593" spans="1:15" ht="70.5" customHeight="1" thickBot="1">
      <c r="A593" s="75" t="s">
        <v>81</v>
      </c>
      <c r="B593" s="128" t="s">
        <v>550</v>
      </c>
      <c r="C593" s="128" t="s">
        <v>103</v>
      </c>
      <c r="D593" s="129"/>
      <c r="E593" s="116"/>
      <c r="F593" s="99" t="s">
        <v>900</v>
      </c>
      <c r="G593" s="42">
        <v>4000</v>
      </c>
      <c r="H593" s="151">
        <f>6000-3000-1320</f>
        <v>1680</v>
      </c>
      <c r="I593" s="39">
        <f>SUM(G593:H593)</f>
        <v>5680</v>
      </c>
      <c r="J593" s="37">
        <v>3676.69</v>
      </c>
      <c r="K593" s="38"/>
      <c r="L593" s="39">
        <f>J593+K593</f>
        <v>3676.69</v>
      </c>
      <c r="M593" s="42">
        <f>G592-J592</f>
        <v>323.30999999999995</v>
      </c>
      <c r="N593" s="38">
        <f>H592-K592</f>
        <v>1680</v>
      </c>
      <c r="O593" s="39">
        <f>SUM(M593:N593)</f>
        <v>2003.31</v>
      </c>
    </row>
    <row r="594" spans="1:15" ht="13.5" thickBot="1">
      <c r="A594" s="171" t="s">
        <v>82</v>
      </c>
      <c r="B594" s="172"/>
      <c r="C594" s="172"/>
      <c r="D594" s="178"/>
      <c r="E594" s="179"/>
      <c r="F594" s="178"/>
      <c r="G594" s="180">
        <f>G595</f>
        <v>250</v>
      </c>
      <c r="H594" s="181">
        <f>H595</f>
        <v>2661</v>
      </c>
      <c r="I594" s="182">
        <f>I595</f>
        <v>2911</v>
      </c>
      <c r="J594" s="183">
        <f>SUM(J595:J596)</f>
        <v>250</v>
      </c>
      <c r="K594" s="181">
        <f>SUM(K595:K596)</f>
        <v>2660.72</v>
      </c>
      <c r="L594" s="182">
        <f>SUM(L595:L596)</f>
        <v>2910.72</v>
      </c>
      <c r="M594" s="180">
        <f>M595</f>
        <v>0</v>
      </c>
      <c r="N594" s="181">
        <f>N595</f>
        <v>0.2800000000002001</v>
      </c>
      <c r="O594" s="182">
        <f>O595</f>
        <v>0.2800000000002001</v>
      </c>
    </row>
    <row r="595" spans="1:15" ht="33.75" customHeight="1">
      <c r="A595" s="273" t="s">
        <v>83</v>
      </c>
      <c r="B595" s="273" t="s">
        <v>550</v>
      </c>
      <c r="C595" s="273" t="s">
        <v>107</v>
      </c>
      <c r="D595" s="275"/>
      <c r="E595" s="275"/>
      <c r="F595" s="168" t="s">
        <v>84</v>
      </c>
      <c r="G595" s="263">
        <v>250</v>
      </c>
      <c r="H595" s="265">
        <f>1000+1661</f>
        <v>2661</v>
      </c>
      <c r="I595" s="267">
        <f>SUM(G595:H595)</f>
        <v>2911</v>
      </c>
      <c r="J595" s="12">
        <v>250</v>
      </c>
      <c r="K595" s="13"/>
      <c r="L595" s="21">
        <f>J595+K595</f>
        <v>250</v>
      </c>
      <c r="M595" s="263">
        <f>G594-J594</f>
        <v>0</v>
      </c>
      <c r="N595" s="265">
        <f>H594-K594</f>
        <v>0.2800000000002001</v>
      </c>
      <c r="O595" s="267">
        <f>SUM(M595:N595)</f>
        <v>0.2800000000002001</v>
      </c>
    </row>
    <row r="596" spans="1:15" ht="33.75" customHeight="1" thickBot="1">
      <c r="A596" s="274"/>
      <c r="B596" s="274"/>
      <c r="C596" s="274"/>
      <c r="D596" s="276"/>
      <c r="E596" s="276"/>
      <c r="F596" s="170" t="s">
        <v>104</v>
      </c>
      <c r="G596" s="264"/>
      <c r="H596" s="266"/>
      <c r="I596" s="268"/>
      <c r="J596" s="83"/>
      <c r="K596" s="152">
        <v>2660.72</v>
      </c>
      <c r="L596" s="50">
        <f>J596+K596</f>
        <v>2660.72</v>
      </c>
      <c r="M596" s="264"/>
      <c r="N596" s="266"/>
      <c r="O596" s="268"/>
    </row>
    <row r="597" spans="1:15" ht="13.5" thickBot="1">
      <c r="A597" s="171" t="s">
        <v>85</v>
      </c>
      <c r="B597" s="172"/>
      <c r="C597" s="172"/>
      <c r="D597" s="178"/>
      <c r="E597" s="179"/>
      <c r="F597" s="178"/>
      <c r="G597" s="180">
        <f aca="true" t="shared" si="70" ref="G597:O597">G598</f>
        <v>120</v>
      </c>
      <c r="H597" s="181">
        <f t="shared" si="70"/>
        <v>0</v>
      </c>
      <c r="I597" s="182">
        <f t="shared" si="70"/>
        <v>120</v>
      </c>
      <c r="J597" s="183">
        <f t="shared" si="70"/>
        <v>0</v>
      </c>
      <c r="K597" s="181">
        <f t="shared" si="70"/>
        <v>0</v>
      </c>
      <c r="L597" s="182">
        <f t="shared" si="70"/>
        <v>0</v>
      </c>
      <c r="M597" s="180">
        <f t="shared" si="70"/>
        <v>120</v>
      </c>
      <c r="N597" s="181">
        <f t="shared" si="70"/>
        <v>0</v>
      </c>
      <c r="O597" s="182">
        <f t="shared" si="70"/>
        <v>120</v>
      </c>
    </row>
    <row r="598" spans="1:15" ht="24.75" thickBot="1">
      <c r="A598" s="72" t="s">
        <v>86</v>
      </c>
      <c r="B598" s="133" t="s">
        <v>550</v>
      </c>
      <c r="C598" s="133" t="s">
        <v>874</v>
      </c>
      <c r="D598" s="134"/>
      <c r="E598" s="135"/>
      <c r="F598" s="134"/>
      <c r="G598" s="42">
        <v>120</v>
      </c>
      <c r="H598" s="38"/>
      <c r="I598" s="39">
        <f>SUM(G598:H598)</f>
        <v>120</v>
      </c>
      <c r="J598" s="37"/>
      <c r="K598" s="38"/>
      <c r="L598" s="39">
        <f>J598+K598</f>
        <v>0</v>
      </c>
      <c r="M598" s="42">
        <f>G597-J597</f>
        <v>120</v>
      </c>
      <c r="N598" s="38">
        <f>H597-K597</f>
        <v>0</v>
      </c>
      <c r="O598" s="39">
        <f>SUM(M598:N598)</f>
        <v>120</v>
      </c>
    </row>
    <row r="599" spans="1:15" ht="13.5" thickBot="1">
      <c r="A599" s="171" t="s">
        <v>87</v>
      </c>
      <c r="B599" s="172"/>
      <c r="C599" s="172"/>
      <c r="D599" s="178"/>
      <c r="E599" s="179"/>
      <c r="F599" s="178"/>
      <c r="G599" s="180">
        <f aca="true" t="shared" si="71" ref="G599:O599">G600</f>
        <v>0</v>
      </c>
      <c r="H599" s="181">
        <f t="shared" si="71"/>
        <v>320</v>
      </c>
      <c r="I599" s="182">
        <f t="shared" si="71"/>
        <v>320</v>
      </c>
      <c r="J599" s="183">
        <f t="shared" si="71"/>
        <v>0</v>
      </c>
      <c r="K599" s="181">
        <f t="shared" si="71"/>
        <v>320</v>
      </c>
      <c r="L599" s="182">
        <f t="shared" si="71"/>
        <v>320</v>
      </c>
      <c r="M599" s="180">
        <f t="shared" si="71"/>
        <v>0</v>
      </c>
      <c r="N599" s="181">
        <f t="shared" si="71"/>
        <v>0</v>
      </c>
      <c r="O599" s="182">
        <f t="shared" si="71"/>
        <v>0</v>
      </c>
    </row>
    <row r="600" spans="1:15" ht="34.5" thickBot="1">
      <c r="A600" s="75" t="s">
        <v>88</v>
      </c>
      <c r="B600" s="128"/>
      <c r="C600" s="128" t="s">
        <v>821</v>
      </c>
      <c r="D600" s="129"/>
      <c r="E600" s="116"/>
      <c r="F600" s="137" t="s">
        <v>0</v>
      </c>
      <c r="G600" s="42"/>
      <c r="H600" s="38">
        <v>320</v>
      </c>
      <c r="I600" s="39">
        <f>SUM(G600:H600)</f>
        <v>320</v>
      </c>
      <c r="J600" s="37"/>
      <c r="K600" s="38">
        <v>320</v>
      </c>
      <c r="L600" s="39">
        <f>J600+K600</f>
        <v>320</v>
      </c>
      <c r="M600" s="42">
        <f>G599-J599</f>
        <v>0</v>
      </c>
      <c r="N600" s="38">
        <f>H599-K599</f>
        <v>0</v>
      </c>
      <c r="O600" s="39">
        <f>SUM(M600:N600)</f>
        <v>0</v>
      </c>
    </row>
    <row r="601" spans="1:15" ht="13.5" thickBot="1">
      <c r="A601" s="171" t="s">
        <v>89</v>
      </c>
      <c r="B601" s="172"/>
      <c r="C601" s="172"/>
      <c r="D601" s="178"/>
      <c r="E601" s="179"/>
      <c r="F601" s="178"/>
      <c r="G601" s="180">
        <f>G602</f>
        <v>400</v>
      </c>
      <c r="H601" s="181">
        <f>H602</f>
        <v>6414</v>
      </c>
      <c r="I601" s="182">
        <f>I602</f>
        <v>6814</v>
      </c>
      <c r="J601" s="183">
        <f>SUM(J602:J603)</f>
        <v>355.44</v>
      </c>
      <c r="K601" s="181">
        <f>SUM(K602:K603)</f>
        <v>5303.4</v>
      </c>
      <c r="L601" s="182">
        <f>SUM(L602:L603)</f>
        <v>5658.839999999999</v>
      </c>
      <c r="M601" s="180">
        <f>M602</f>
        <v>44.56</v>
      </c>
      <c r="N601" s="181">
        <f>N602</f>
        <v>1110.6000000000004</v>
      </c>
      <c r="O601" s="182">
        <f>O602</f>
        <v>1155.1600000000003</v>
      </c>
    </row>
    <row r="602" spans="1:15" ht="33.75">
      <c r="A602" s="239" t="s">
        <v>90</v>
      </c>
      <c r="B602" s="273" t="s">
        <v>550</v>
      </c>
      <c r="C602" s="273" t="s">
        <v>108</v>
      </c>
      <c r="D602" s="275"/>
      <c r="E602" s="303"/>
      <c r="F602" s="90" t="s">
        <v>1</v>
      </c>
      <c r="G602" s="250">
        <v>400</v>
      </c>
      <c r="H602" s="229">
        <f>30000-654-20000-2932</f>
        <v>6414</v>
      </c>
      <c r="I602" s="267">
        <f>SUM(G602:H602)</f>
        <v>6814</v>
      </c>
      <c r="J602" s="12">
        <v>355.44</v>
      </c>
      <c r="K602" s="13"/>
      <c r="L602" s="21">
        <f>J602+K602</f>
        <v>355.44</v>
      </c>
      <c r="M602" s="250">
        <f>G601-J601</f>
        <v>44.56</v>
      </c>
      <c r="N602" s="229">
        <f>H601-K601</f>
        <v>1110.6000000000004</v>
      </c>
      <c r="O602" s="222">
        <f>SUM(M602:N602)</f>
        <v>1155.1600000000003</v>
      </c>
    </row>
    <row r="603" spans="1:15" ht="34.5" thickBot="1">
      <c r="A603" s="240"/>
      <c r="B603" s="274"/>
      <c r="C603" s="274"/>
      <c r="D603" s="276"/>
      <c r="E603" s="305"/>
      <c r="F603" s="74" t="s">
        <v>2</v>
      </c>
      <c r="G603" s="253"/>
      <c r="H603" s="230"/>
      <c r="I603" s="268"/>
      <c r="J603" s="47"/>
      <c r="K603" s="63">
        <v>5303.4</v>
      </c>
      <c r="L603" s="46">
        <f>J603+K603</f>
        <v>5303.4</v>
      </c>
      <c r="M603" s="253"/>
      <c r="N603" s="230"/>
      <c r="O603" s="225"/>
    </row>
    <row r="604" spans="1:15" s="148" customFormat="1" ht="13.5" thickBot="1">
      <c r="A604" s="171" t="s">
        <v>329</v>
      </c>
      <c r="B604" s="172"/>
      <c r="C604" s="172"/>
      <c r="D604" s="178"/>
      <c r="E604" s="179"/>
      <c r="F604" s="178"/>
      <c r="G604" s="180">
        <f>G605</f>
        <v>0</v>
      </c>
      <c r="H604" s="181">
        <f>H605</f>
        <v>654</v>
      </c>
      <c r="I604" s="182">
        <f>I605</f>
        <v>654</v>
      </c>
      <c r="J604" s="183">
        <f>SUM(J605:J605)</f>
        <v>0</v>
      </c>
      <c r="K604" s="181">
        <f>SUM(K605:K605)</f>
        <v>654</v>
      </c>
      <c r="L604" s="182">
        <f>SUM(L605:L605)</f>
        <v>654</v>
      </c>
      <c r="M604" s="180">
        <f>M605</f>
        <v>0</v>
      </c>
      <c r="N604" s="181">
        <f>N605</f>
        <v>0</v>
      </c>
      <c r="O604" s="182">
        <f>O605</f>
        <v>0</v>
      </c>
    </row>
    <row r="605" spans="1:15" s="148" customFormat="1" ht="33.75" customHeight="1" thickBot="1">
      <c r="A605" s="71" t="s">
        <v>331</v>
      </c>
      <c r="B605" s="144" t="s">
        <v>550</v>
      </c>
      <c r="C605" s="144" t="s">
        <v>330</v>
      </c>
      <c r="D605" s="145"/>
      <c r="E605" s="146"/>
      <c r="F605" s="143" t="s">
        <v>292</v>
      </c>
      <c r="G605" s="86"/>
      <c r="H605" s="92">
        <v>654</v>
      </c>
      <c r="I605" s="157">
        <f>SUM(G605:H605)</f>
        <v>654</v>
      </c>
      <c r="J605" s="85"/>
      <c r="K605" s="92">
        <v>654</v>
      </c>
      <c r="L605" s="158">
        <f>J605+K605</f>
        <v>654</v>
      </c>
      <c r="M605" s="86">
        <f>G604-J604</f>
        <v>0</v>
      </c>
      <c r="N605" s="92">
        <f>H604-K604</f>
        <v>0</v>
      </c>
      <c r="O605" s="158">
        <f>SUM(M605:N605)</f>
        <v>0</v>
      </c>
    </row>
    <row r="606" spans="1:15" ht="13.5" thickBot="1">
      <c r="A606" s="171" t="s">
        <v>91</v>
      </c>
      <c r="B606" s="172"/>
      <c r="C606" s="172"/>
      <c r="D606" s="178"/>
      <c r="E606" s="179"/>
      <c r="F606" s="191"/>
      <c r="G606" s="180">
        <f>G607</f>
        <v>46364</v>
      </c>
      <c r="H606" s="181">
        <f>H607</f>
        <v>8580</v>
      </c>
      <c r="I606" s="182">
        <f>I607</f>
        <v>54944</v>
      </c>
      <c r="J606" s="183">
        <f>SUM(J607:J622)</f>
        <v>46363.229999999996</v>
      </c>
      <c r="K606" s="181">
        <f>SUM(K607:K622)</f>
        <v>8577.5</v>
      </c>
      <c r="L606" s="182">
        <f>SUM(L607:L622)</f>
        <v>54940.729999999996</v>
      </c>
      <c r="M606" s="180">
        <f>M607</f>
        <v>0.7700000000040745</v>
      </c>
      <c r="N606" s="181">
        <f>N607</f>
        <v>2.5</v>
      </c>
      <c r="O606" s="182">
        <f>O607</f>
        <v>3.2700000000040745</v>
      </c>
    </row>
    <row r="607" spans="1:15" ht="24.75" customHeight="1">
      <c r="A607" s="258" t="s">
        <v>92</v>
      </c>
      <c r="B607" s="273" t="s">
        <v>550</v>
      </c>
      <c r="C607" s="273" t="s">
        <v>532</v>
      </c>
      <c r="D607" s="303"/>
      <c r="E607" s="310"/>
      <c r="F607" s="101" t="s">
        <v>3</v>
      </c>
      <c r="G607" s="250">
        <f>41494+4870</f>
        <v>46364</v>
      </c>
      <c r="H607" s="254">
        <f>13340-10000+420+4820</f>
        <v>8580</v>
      </c>
      <c r="I607" s="267">
        <f>SUM(G607:H607)</f>
        <v>54944</v>
      </c>
      <c r="J607" s="12">
        <v>2473.65</v>
      </c>
      <c r="K607" s="13"/>
      <c r="L607" s="21">
        <f aca="true" t="shared" si="72" ref="L607:L622">J607+K607</f>
        <v>2473.65</v>
      </c>
      <c r="M607" s="250">
        <f>G606-J606</f>
        <v>0.7700000000040745</v>
      </c>
      <c r="N607" s="254">
        <f>H606-K606</f>
        <v>2.5</v>
      </c>
      <c r="O607" s="222">
        <f>SUM(M607:N607)</f>
        <v>3.2700000000040745</v>
      </c>
    </row>
    <row r="608" spans="1:15" ht="33.75">
      <c r="A608" s="220"/>
      <c r="B608" s="259"/>
      <c r="C608" s="259"/>
      <c r="D608" s="304"/>
      <c r="E608" s="311"/>
      <c r="F608" s="142" t="s">
        <v>4</v>
      </c>
      <c r="G608" s="251"/>
      <c r="H608" s="255"/>
      <c r="I608" s="285"/>
      <c r="J608" s="15">
        <v>6204</v>
      </c>
      <c r="K608" s="14"/>
      <c r="L608" s="31">
        <f t="shared" si="72"/>
        <v>6204</v>
      </c>
      <c r="M608" s="251"/>
      <c r="N608" s="255"/>
      <c r="O608" s="223"/>
    </row>
    <row r="609" spans="1:15" ht="33.75">
      <c r="A609" s="220"/>
      <c r="B609" s="259"/>
      <c r="C609" s="259"/>
      <c r="D609" s="304"/>
      <c r="E609" s="311"/>
      <c r="F609" s="142" t="s">
        <v>5</v>
      </c>
      <c r="G609" s="251"/>
      <c r="H609" s="255"/>
      <c r="I609" s="285"/>
      <c r="J609" s="15">
        <v>5230</v>
      </c>
      <c r="K609" s="14"/>
      <c r="L609" s="31">
        <f t="shared" si="72"/>
        <v>5230</v>
      </c>
      <c r="M609" s="251"/>
      <c r="N609" s="255"/>
      <c r="O609" s="223"/>
    </row>
    <row r="610" spans="1:15" ht="33.75">
      <c r="A610" s="220"/>
      <c r="B610" s="259"/>
      <c r="C610" s="259"/>
      <c r="D610" s="304"/>
      <c r="E610" s="311"/>
      <c r="F610" s="142" t="s">
        <v>6</v>
      </c>
      <c r="G610" s="251"/>
      <c r="H610" s="255"/>
      <c r="I610" s="285"/>
      <c r="J610" s="15">
        <v>1827.48</v>
      </c>
      <c r="K610" s="14"/>
      <c r="L610" s="31">
        <f t="shared" si="72"/>
        <v>1827.48</v>
      </c>
      <c r="M610" s="251"/>
      <c r="N610" s="255"/>
      <c r="O610" s="223"/>
    </row>
    <row r="611" spans="1:15" ht="33.75">
      <c r="A611" s="220"/>
      <c r="B611" s="259"/>
      <c r="C611" s="259"/>
      <c r="D611" s="304"/>
      <c r="E611" s="311"/>
      <c r="F611" s="142" t="s">
        <v>7</v>
      </c>
      <c r="G611" s="251"/>
      <c r="H611" s="255"/>
      <c r="I611" s="285"/>
      <c r="J611" s="15"/>
      <c r="K611" s="14">
        <v>2492.65</v>
      </c>
      <c r="L611" s="31">
        <f t="shared" si="72"/>
        <v>2492.65</v>
      </c>
      <c r="M611" s="251"/>
      <c r="N611" s="255"/>
      <c r="O611" s="223"/>
    </row>
    <row r="612" spans="1:15" ht="33.75">
      <c r="A612" s="220"/>
      <c r="B612" s="259"/>
      <c r="C612" s="259"/>
      <c r="D612" s="304"/>
      <c r="E612" s="311"/>
      <c r="F612" s="142" t="s">
        <v>93</v>
      </c>
      <c r="G612" s="251"/>
      <c r="H612" s="255"/>
      <c r="I612" s="285"/>
      <c r="J612" s="15">
        <v>9699.3</v>
      </c>
      <c r="K612" s="14"/>
      <c r="L612" s="31">
        <f t="shared" si="72"/>
        <v>9699.3</v>
      </c>
      <c r="M612" s="251"/>
      <c r="N612" s="255"/>
      <c r="O612" s="223"/>
    </row>
    <row r="613" spans="1:15" ht="22.5">
      <c r="A613" s="220"/>
      <c r="B613" s="259"/>
      <c r="C613" s="259"/>
      <c r="D613" s="304"/>
      <c r="E613" s="311"/>
      <c r="F613" s="142" t="s">
        <v>94</v>
      </c>
      <c r="G613" s="251"/>
      <c r="H613" s="255"/>
      <c r="I613" s="285"/>
      <c r="J613" s="15">
        <v>1024</v>
      </c>
      <c r="K613" s="14"/>
      <c r="L613" s="31">
        <f t="shared" si="72"/>
        <v>1024</v>
      </c>
      <c r="M613" s="251"/>
      <c r="N613" s="255"/>
      <c r="O613" s="223"/>
    </row>
    <row r="614" spans="1:15" ht="33.75">
      <c r="A614" s="220"/>
      <c r="B614" s="259"/>
      <c r="C614" s="259"/>
      <c r="D614" s="304"/>
      <c r="E614" s="311"/>
      <c r="F614" s="142" t="s">
        <v>95</v>
      </c>
      <c r="G614" s="251"/>
      <c r="H614" s="255"/>
      <c r="I614" s="285"/>
      <c r="J614" s="15">
        <v>3112</v>
      </c>
      <c r="K614" s="14"/>
      <c r="L614" s="31">
        <f t="shared" si="72"/>
        <v>3112</v>
      </c>
      <c r="M614" s="251"/>
      <c r="N614" s="255"/>
      <c r="O614" s="223"/>
    </row>
    <row r="615" spans="1:15" ht="22.5">
      <c r="A615" s="220"/>
      <c r="B615" s="259"/>
      <c r="C615" s="259"/>
      <c r="D615" s="304"/>
      <c r="E615" s="311"/>
      <c r="F615" s="142" t="s">
        <v>96</v>
      </c>
      <c r="G615" s="251"/>
      <c r="H615" s="255"/>
      <c r="I615" s="285"/>
      <c r="J615" s="15">
        <v>4203.6</v>
      </c>
      <c r="K615" s="14"/>
      <c r="L615" s="31">
        <f t="shared" si="72"/>
        <v>4203.6</v>
      </c>
      <c r="M615" s="251"/>
      <c r="N615" s="255"/>
      <c r="O615" s="223"/>
    </row>
    <row r="616" spans="1:15" ht="22.5">
      <c r="A616" s="220"/>
      <c r="B616" s="259"/>
      <c r="C616" s="259"/>
      <c r="D616" s="304"/>
      <c r="E616" s="311"/>
      <c r="F616" s="142" t="s">
        <v>127</v>
      </c>
      <c r="G616" s="251"/>
      <c r="H616" s="255"/>
      <c r="I616" s="285"/>
      <c r="J616" s="15">
        <v>3840</v>
      </c>
      <c r="K616" s="14"/>
      <c r="L616" s="31">
        <f t="shared" si="72"/>
        <v>3840</v>
      </c>
      <c r="M616" s="251"/>
      <c r="N616" s="255"/>
      <c r="O616" s="223"/>
    </row>
    <row r="617" spans="1:15" ht="22.5">
      <c r="A617" s="220"/>
      <c r="B617" s="259"/>
      <c r="C617" s="259"/>
      <c r="D617" s="304"/>
      <c r="E617" s="311"/>
      <c r="F617" s="142" t="s">
        <v>128</v>
      </c>
      <c r="G617" s="251"/>
      <c r="H617" s="255"/>
      <c r="I617" s="285"/>
      <c r="J617" s="15">
        <v>2857</v>
      </c>
      <c r="K617" s="14"/>
      <c r="L617" s="31">
        <f t="shared" si="72"/>
        <v>2857</v>
      </c>
      <c r="M617" s="251"/>
      <c r="N617" s="255"/>
      <c r="O617" s="223"/>
    </row>
    <row r="618" spans="1:15" ht="22.5">
      <c r="A618" s="220"/>
      <c r="B618" s="259"/>
      <c r="C618" s="259"/>
      <c r="D618" s="304"/>
      <c r="E618" s="311"/>
      <c r="F618" s="142" t="s">
        <v>129</v>
      </c>
      <c r="G618" s="252"/>
      <c r="H618" s="256"/>
      <c r="I618" s="285"/>
      <c r="J618" s="15">
        <v>282.2</v>
      </c>
      <c r="K618" s="14"/>
      <c r="L618" s="31">
        <f>J618+K618</f>
        <v>282.2</v>
      </c>
      <c r="M618" s="252"/>
      <c r="N618" s="256"/>
      <c r="O618" s="224"/>
    </row>
    <row r="619" spans="1:15" ht="22.5">
      <c r="A619" s="220"/>
      <c r="B619" s="259"/>
      <c r="C619" s="259"/>
      <c r="D619" s="304"/>
      <c r="E619" s="311"/>
      <c r="F619" s="142" t="s">
        <v>119</v>
      </c>
      <c r="G619" s="252"/>
      <c r="H619" s="256"/>
      <c r="I619" s="285"/>
      <c r="J619" s="15"/>
      <c r="K619" s="93">
        <v>568</v>
      </c>
      <c r="L619" s="31">
        <f>J619+K619</f>
        <v>568</v>
      </c>
      <c r="M619" s="252"/>
      <c r="N619" s="256"/>
      <c r="O619" s="224"/>
    </row>
    <row r="620" spans="1:15" ht="33.75">
      <c r="A620" s="220"/>
      <c r="B620" s="259"/>
      <c r="C620" s="259"/>
      <c r="D620" s="304"/>
      <c r="E620" s="311"/>
      <c r="F620" s="142" t="s">
        <v>120</v>
      </c>
      <c r="G620" s="252"/>
      <c r="H620" s="256"/>
      <c r="I620" s="285"/>
      <c r="J620" s="15"/>
      <c r="K620" s="93">
        <v>692.45</v>
      </c>
      <c r="L620" s="31">
        <f>J620+K620</f>
        <v>692.45</v>
      </c>
      <c r="M620" s="252"/>
      <c r="N620" s="256"/>
      <c r="O620" s="224"/>
    </row>
    <row r="621" spans="1:15" ht="22.5">
      <c r="A621" s="220"/>
      <c r="B621" s="259"/>
      <c r="C621" s="259"/>
      <c r="D621" s="304"/>
      <c r="E621" s="311"/>
      <c r="F621" s="142" t="s">
        <v>265</v>
      </c>
      <c r="G621" s="252"/>
      <c r="H621" s="256"/>
      <c r="I621" s="285"/>
      <c r="J621" s="15"/>
      <c r="K621" s="194">
        <v>4824.4</v>
      </c>
      <c r="L621" s="31">
        <f>J621+K621</f>
        <v>4824.4</v>
      </c>
      <c r="M621" s="252"/>
      <c r="N621" s="256"/>
      <c r="O621" s="224"/>
    </row>
    <row r="622" spans="1:15" ht="23.25" thickBot="1">
      <c r="A622" s="221"/>
      <c r="B622" s="274"/>
      <c r="C622" s="274"/>
      <c r="D622" s="305"/>
      <c r="E622" s="312"/>
      <c r="F622" s="143" t="s">
        <v>531</v>
      </c>
      <c r="G622" s="253"/>
      <c r="H622" s="257"/>
      <c r="I622" s="268"/>
      <c r="J622" s="202">
        <v>5610</v>
      </c>
      <c r="K622" s="152"/>
      <c r="L622" s="50">
        <f t="shared" si="72"/>
        <v>5610</v>
      </c>
      <c r="M622" s="253"/>
      <c r="N622" s="257"/>
      <c r="O622" s="225"/>
    </row>
    <row r="623" spans="1:15" ht="13.5" thickBot="1">
      <c r="A623" s="171" t="s">
        <v>130</v>
      </c>
      <c r="B623" s="172"/>
      <c r="C623" s="172"/>
      <c r="D623" s="178"/>
      <c r="E623" s="179"/>
      <c r="F623" s="190"/>
      <c r="G623" s="180">
        <f aca="true" t="shared" si="73" ref="G623:O623">G624</f>
        <v>1212</v>
      </c>
      <c r="H623" s="181">
        <f t="shared" si="73"/>
        <v>580</v>
      </c>
      <c r="I623" s="182">
        <f t="shared" si="73"/>
        <v>1792</v>
      </c>
      <c r="J623" s="183">
        <f t="shared" si="73"/>
        <v>1212</v>
      </c>
      <c r="K623" s="181">
        <f t="shared" si="73"/>
        <v>0</v>
      </c>
      <c r="L623" s="182">
        <f t="shared" si="73"/>
        <v>1212</v>
      </c>
      <c r="M623" s="180">
        <f t="shared" si="73"/>
        <v>0</v>
      </c>
      <c r="N623" s="181">
        <f t="shared" si="73"/>
        <v>580</v>
      </c>
      <c r="O623" s="182">
        <f t="shared" si="73"/>
        <v>580</v>
      </c>
    </row>
    <row r="624" spans="1:15" ht="48.75" thickBot="1">
      <c r="A624" s="72" t="s">
        <v>131</v>
      </c>
      <c r="B624" s="133" t="s">
        <v>550</v>
      </c>
      <c r="C624" s="133" t="s">
        <v>121</v>
      </c>
      <c r="D624" s="138"/>
      <c r="E624" s="138"/>
      <c r="F624" s="136" t="s">
        <v>132</v>
      </c>
      <c r="G624" s="42">
        <v>1212</v>
      </c>
      <c r="H624" s="151">
        <f>3000-2000-420</f>
        <v>580</v>
      </c>
      <c r="I624" s="39">
        <f>SUM(G624:H624)</f>
        <v>1792</v>
      </c>
      <c r="J624" s="37">
        <v>1212</v>
      </c>
      <c r="K624" s="38"/>
      <c r="L624" s="39">
        <f>J624+K624</f>
        <v>1212</v>
      </c>
      <c r="M624" s="42">
        <f>G623-J623</f>
        <v>0</v>
      </c>
      <c r="N624" s="38">
        <f>H623-K623</f>
        <v>580</v>
      </c>
      <c r="O624" s="39">
        <f>SUM(M624:N624)</f>
        <v>580</v>
      </c>
    </row>
    <row r="625" spans="1:15" ht="13.5" thickBot="1">
      <c r="A625" s="171" t="s">
        <v>133</v>
      </c>
      <c r="B625" s="172"/>
      <c r="C625" s="172"/>
      <c r="D625" s="178"/>
      <c r="E625" s="179"/>
      <c r="F625" s="178"/>
      <c r="G625" s="180">
        <f aca="true" t="shared" si="74" ref="G625:O625">G626</f>
        <v>0</v>
      </c>
      <c r="H625" s="181">
        <f t="shared" si="74"/>
        <v>6840</v>
      </c>
      <c r="I625" s="182">
        <f t="shared" si="74"/>
        <v>6840</v>
      </c>
      <c r="J625" s="183">
        <f t="shared" si="74"/>
        <v>0</v>
      </c>
      <c r="K625" s="181">
        <f t="shared" si="74"/>
        <v>5538</v>
      </c>
      <c r="L625" s="182">
        <f t="shared" si="74"/>
        <v>5538</v>
      </c>
      <c r="M625" s="180">
        <f t="shared" si="74"/>
        <v>0</v>
      </c>
      <c r="N625" s="181">
        <f t="shared" si="74"/>
        <v>1302</v>
      </c>
      <c r="O625" s="182">
        <f t="shared" si="74"/>
        <v>1302</v>
      </c>
    </row>
    <row r="626" spans="1:15" ht="72.75" thickBot="1">
      <c r="A626" s="72" t="s">
        <v>134</v>
      </c>
      <c r="B626" s="133" t="s">
        <v>550</v>
      </c>
      <c r="C626" s="133" t="s">
        <v>306</v>
      </c>
      <c r="D626" s="138"/>
      <c r="E626" s="138"/>
      <c r="F626" s="134" t="s">
        <v>135</v>
      </c>
      <c r="G626" s="42"/>
      <c r="H626" s="151">
        <f>22040-3200-10000-2000</f>
        <v>6840</v>
      </c>
      <c r="I626" s="39">
        <f>SUM(G626:H626)</f>
        <v>6840</v>
      </c>
      <c r="J626" s="37"/>
      <c r="K626" s="38">
        <v>5538</v>
      </c>
      <c r="L626" s="39">
        <f>J626+K626</f>
        <v>5538</v>
      </c>
      <c r="M626" s="42">
        <f>G625-J625</f>
        <v>0</v>
      </c>
      <c r="N626" s="38">
        <f>H625-K625</f>
        <v>1302</v>
      </c>
      <c r="O626" s="39">
        <f>SUM(M626:N626)</f>
        <v>1302</v>
      </c>
    </row>
    <row r="627" spans="1:15" ht="13.5" thickBot="1">
      <c r="A627" s="171" t="s">
        <v>136</v>
      </c>
      <c r="B627" s="172"/>
      <c r="C627" s="172"/>
      <c r="D627" s="178"/>
      <c r="E627" s="179"/>
      <c r="F627" s="178"/>
      <c r="G627" s="180">
        <f aca="true" t="shared" si="75" ref="G627:O629">G628</f>
        <v>453</v>
      </c>
      <c r="H627" s="181">
        <f t="shared" si="75"/>
        <v>1000</v>
      </c>
      <c r="I627" s="182">
        <f t="shared" si="75"/>
        <v>1453</v>
      </c>
      <c r="J627" s="183">
        <f t="shared" si="75"/>
        <v>453</v>
      </c>
      <c r="K627" s="181">
        <f t="shared" si="75"/>
        <v>0</v>
      </c>
      <c r="L627" s="182">
        <f t="shared" si="75"/>
        <v>453</v>
      </c>
      <c r="M627" s="180">
        <f t="shared" si="75"/>
        <v>0</v>
      </c>
      <c r="N627" s="181">
        <f t="shared" si="75"/>
        <v>1000</v>
      </c>
      <c r="O627" s="182">
        <f t="shared" si="75"/>
        <v>1000</v>
      </c>
    </row>
    <row r="628" spans="1:15" ht="36.75" thickBot="1">
      <c r="A628" s="72" t="s">
        <v>137</v>
      </c>
      <c r="B628" s="133" t="s">
        <v>550</v>
      </c>
      <c r="C628" s="133" t="s">
        <v>305</v>
      </c>
      <c r="D628" s="138"/>
      <c r="E628" s="138"/>
      <c r="F628" s="136" t="s">
        <v>138</v>
      </c>
      <c r="G628" s="42">
        <v>453</v>
      </c>
      <c r="H628" s="38">
        <f>5000-4000</f>
        <v>1000</v>
      </c>
      <c r="I628" s="39">
        <f>SUM(G628:H628)</f>
        <v>1453</v>
      </c>
      <c r="J628" s="37">
        <v>453</v>
      </c>
      <c r="K628" s="38"/>
      <c r="L628" s="39">
        <f>J628+K628</f>
        <v>453</v>
      </c>
      <c r="M628" s="42">
        <f>G627-J627</f>
        <v>0</v>
      </c>
      <c r="N628" s="151">
        <f>H627-K627</f>
        <v>1000</v>
      </c>
      <c r="O628" s="39">
        <f>SUM(M628:N628)</f>
        <v>1000</v>
      </c>
    </row>
    <row r="629" spans="1:15" ht="13.5" thickBot="1">
      <c r="A629" s="171" t="s">
        <v>562</v>
      </c>
      <c r="B629" s="172"/>
      <c r="C629" s="172"/>
      <c r="D629" s="178"/>
      <c r="E629" s="179"/>
      <c r="F629" s="178"/>
      <c r="G629" s="180">
        <f t="shared" si="75"/>
        <v>0</v>
      </c>
      <c r="H629" s="181">
        <f t="shared" si="75"/>
        <v>702</v>
      </c>
      <c r="I629" s="182">
        <f t="shared" si="75"/>
        <v>702</v>
      </c>
      <c r="J629" s="183">
        <f t="shared" si="75"/>
        <v>0</v>
      </c>
      <c r="K629" s="181">
        <f t="shared" si="75"/>
        <v>702</v>
      </c>
      <c r="L629" s="182">
        <f t="shared" si="75"/>
        <v>702</v>
      </c>
      <c r="M629" s="180">
        <f t="shared" si="75"/>
        <v>0</v>
      </c>
      <c r="N629" s="181">
        <f t="shared" si="75"/>
        <v>0</v>
      </c>
      <c r="O629" s="182">
        <f t="shared" si="75"/>
        <v>0</v>
      </c>
    </row>
    <row r="630" spans="1:15" ht="58.5" customHeight="1" thickBot="1">
      <c r="A630" s="72" t="s">
        <v>563</v>
      </c>
      <c r="B630" s="133" t="s">
        <v>550</v>
      </c>
      <c r="C630" s="133" t="s">
        <v>564</v>
      </c>
      <c r="D630" s="138"/>
      <c r="E630" s="138"/>
      <c r="F630" s="136" t="s">
        <v>565</v>
      </c>
      <c r="G630" s="42"/>
      <c r="H630" s="38">
        <v>702</v>
      </c>
      <c r="I630" s="39">
        <f>SUM(G630:H630)</f>
        <v>702</v>
      </c>
      <c r="J630" s="37"/>
      <c r="K630" s="151">
        <v>702</v>
      </c>
      <c r="L630" s="39">
        <f>J630+K630</f>
        <v>702</v>
      </c>
      <c r="M630" s="42">
        <f>G629-J629</f>
        <v>0</v>
      </c>
      <c r="N630" s="38">
        <f>H629-K629</f>
        <v>0</v>
      </c>
      <c r="O630" s="39">
        <f>SUM(M630:N630)</f>
        <v>0</v>
      </c>
    </row>
    <row r="631" spans="1:15" ht="13.5" thickBot="1">
      <c r="A631" s="171" t="s">
        <v>335</v>
      </c>
      <c r="B631" s="172"/>
      <c r="C631" s="172"/>
      <c r="D631" s="178"/>
      <c r="E631" s="179"/>
      <c r="F631" s="178"/>
      <c r="G631" s="180">
        <f>G632</f>
        <v>0</v>
      </c>
      <c r="H631" s="181">
        <f>H632</f>
        <v>4471</v>
      </c>
      <c r="I631" s="182">
        <f>I632</f>
        <v>4471</v>
      </c>
      <c r="J631" s="183">
        <f>SUM(J632:J633)</f>
        <v>0</v>
      </c>
      <c r="K631" s="181">
        <f>SUM(K632:K633)</f>
        <v>4470.3</v>
      </c>
      <c r="L631" s="182">
        <f>SUM(L632:L633)</f>
        <v>4470.3</v>
      </c>
      <c r="M631" s="180">
        <f>M632</f>
        <v>0</v>
      </c>
      <c r="N631" s="181">
        <f>N632</f>
        <v>0.6999999999998181</v>
      </c>
      <c r="O631" s="182">
        <f>O632</f>
        <v>0.6999999999998181</v>
      </c>
    </row>
    <row r="632" spans="1:15" ht="22.5">
      <c r="A632" s="273" t="s">
        <v>140</v>
      </c>
      <c r="B632" s="273" t="s">
        <v>550</v>
      </c>
      <c r="C632" s="273" t="s">
        <v>105</v>
      </c>
      <c r="D632" s="340"/>
      <c r="E632" s="340"/>
      <c r="F632" s="90" t="s">
        <v>293</v>
      </c>
      <c r="G632" s="342"/>
      <c r="H632" s="265">
        <f>3200+1271</f>
        <v>4471</v>
      </c>
      <c r="I632" s="267">
        <f>SUM(G632:H632)</f>
        <v>4471</v>
      </c>
      <c r="J632" s="12"/>
      <c r="K632" s="92">
        <v>3195.3</v>
      </c>
      <c r="L632" s="21">
        <f>J632+K632</f>
        <v>3195.3</v>
      </c>
      <c r="M632" s="263">
        <f>G631-J631</f>
        <v>0</v>
      </c>
      <c r="N632" s="265">
        <f>H631-K631</f>
        <v>0.6999999999998181</v>
      </c>
      <c r="O632" s="267">
        <f>SUM(M632:N632)</f>
        <v>0.6999999999998181</v>
      </c>
    </row>
    <row r="633" spans="1:15" ht="23.25" customHeight="1" thickBot="1">
      <c r="A633" s="259"/>
      <c r="B633" s="259"/>
      <c r="C633" s="259"/>
      <c r="D633" s="341"/>
      <c r="E633" s="341"/>
      <c r="F633" s="170" t="s">
        <v>106</v>
      </c>
      <c r="G633" s="343"/>
      <c r="H633" s="286"/>
      <c r="I633" s="285"/>
      <c r="J633" s="16"/>
      <c r="K633" s="153">
        <v>1275</v>
      </c>
      <c r="L633" s="30">
        <f>J633+K633</f>
        <v>1275</v>
      </c>
      <c r="M633" s="287"/>
      <c r="N633" s="286"/>
      <c r="O633" s="285"/>
    </row>
    <row r="634" spans="1:15" ht="13.5" customHeight="1" hidden="1" thickBot="1">
      <c r="A634" s="150"/>
      <c r="B634" s="150"/>
      <c r="C634" s="259"/>
      <c r="D634" s="165"/>
      <c r="E634" s="165"/>
      <c r="F634" s="91"/>
      <c r="G634" s="343"/>
      <c r="H634" s="286"/>
      <c r="I634" s="285"/>
      <c r="J634" s="15"/>
      <c r="K634" s="14"/>
      <c r="L634" s="31">
        <f>J634+K634</f>
        <v>0</v>
      </c>
      <c r="M634" s="287"/>
      <c r="N634" s="286"/>
      <c r="O634" s="285"/>
    </row>
    <row r="635" spans="1:15" ht="13.5" customHeight="1" hidden="1" thickBot="1">
      <c r="A635" s="150"/>
      <c r="B635" s="150"/>
      <c r="C635" s="259"/>
      <c r="D635" s="165"/>
      <c r="E635" s="165"/>
      <c r="F635" s="91"/>
      <c r="G635" s="343"/>
      <c r="H635" s="286"/>
      <c r="I635" s="285"/>
      <c r="J635" s="15"/>
      <c r="K635" s="14"/>
      <c r="L635" s="31">
        <f>J635+K635</f>
        <v>0</v>
      </c>
      <c r="M635" s="287"/>
      <c r="N635" s="286"/>
      <c r="O635" s="285"/>
    </row>
    <row r="636" spans="1:15" ht="13.5" customHeight="1" hidden="1" thickBot="1">
      <c r="A636" s="72"/>
      <c r="B636" s="72"/>
      <c r="C636" s="274"/>
      <c r="D636" s="166"/>
      <c r="E636" s="166"/>
      <c r="F636" s="74"/>
      <c r="G636" s="344"/>
      <c r="H636" s="266"/>
      <c r="I636" s="268"/>
      <c r="J636" s="47"/>
      <c r="K636" s="63"/>
      <c r="L636" s="46">
        <f>J636+K636</f>
        <v>0</v>
      </c>
      <c r="M636" s="264"/>
      <c r="N636" s="266"/>
      <c r="O636" s="268"/>
    </row>
    <row r="637" spans="1:15" ht="13.5" thickBot="1">
      <c r="A637" s="171" t="s">
        <v>139</v>
      </c>
      <c r="B637" s="172"/>
      <c r="C637" s="172"/>
      <c r="D637" s="178"/>
      <c r="E637" s="179"/>
      <c r="F637" s="178"/>
      <c r="G637" s="180">
        <f>G638</f>
        <v>0</v>
      </c>
      <c r="H637" s="181">
        <f>H638</f>
        <v>13410</v>
      </c>
      <c r="I637" s="182">
        <f>I638</f>
        <v>13410</v>
      </c>
      <c r="J637" s="183">
        <f>SUM(J638:J642)</f>
        <v>0</v>
      </c>
      <c r="K637" s="181">
        <f>SUM(K638:K642)</f>
        <v>13039.050000000001</v>
      </c>
      <c r="L637" s="182">
        <f>SUM(L638:L642)</f>
        <v>13039.050000000001</v>
      </c>
      <c r="M637" s="180">
        <f>M638</f>
        <v>0</v>
      </c>
      <c r="N637" s="181">
        <f>N638</f>
        <v>370.9499999999989</v>
      </c>
      <c r="O637" s="182">
        <f>O638</f>
        <v>370.9499999999989</v>
      </c>
    </row>
    <row r="638" spans="1:15" ht="22.5">
      <c r="A638" s="239" t="s">
        <v>140</v>
      </c>
      <c r="B638" s="273" t="s">
        <v>550</v>
      </c>
      <c r="C638" s="273" t="s">
        <v>304</v>
      </c>
      <c r="D638" s="303"/>
      <c r="E638" s="310"/>
      <c r="F638" s="101" t="s">
        <v>141</v>
      </c>
      <c r="G638" s="250"/>
      <c r="H638" s="254">
        <f>25410-12000</f>
        <v>13410</v>
      </c>
      <c r="I638" s="267">
        <f>SUM(G638:H638)</f>
        <v>13410</v>
      </c>
      <c r="J638" s="12"/>
      <c r="K638" s="13">
        <v>1343</v>
      </c>
      <c r="L638" s="21">
        <f>J638+K638</f>
        <v>1343</v>
      </c>
      <c r="M638" s="250">
        <f>G637-J637</f>
        <v>0</v>
      </c>
      <c r="N638" s="254">
        <f>H637-K637</f>
        <v>370.9499999999989</v>
      </c>
      <c r="O638" s="222">
        <f>SUM(M638:N638)</f>
        <v>370.9499999999989</v>
      </c>
    </row>
    <row r="639" spans="1:15" ht="22.5">
      <c r="A639" s="209"/>
      <c r="B639" s="259"/>
      <c r="C639" s="259"/>
      <c r="D639" s="304"/>
      <c r="E639" s="311"/>
      <c r="F639" s="142" t="s">
        <v>8</v>
      </c>
      <c r="G639" s="251"/>
      <c r="H639" s="255"/>
      <c r="I639" s="285"/>
      <c r="J639" s="15"/>
      <c r="K639" s="14">
        <v>3780</v>
      </c>
      <c r="L639" s="31">
        <f>J639+K639</f>
        <v>3780</v>
      </c>
      <c r="M639" s="251"/>
      <c r="N639" s="255"/>
      <c r="O639" s="223"/>
    </row>
    <row r="640" spans="1:15" ht="33.75">
      <c r="A640" s="209"/>
      <c r="B640" s="259"/>
      <c r="C640" s="259"/>
      <c r="D640" s="304"/>
      <c r="E640" s="311"/>
      <c r="F640" s="142" t="s">
        <v>9</v>
      </c>
      <c r="G640" s="251"/>
      <c r="H640" s="255"/>
      <c r="I640" s="285"/>
      <c r="J640" s="15"/>
      <c r="K640" s="14">
        <v>3070.34</v>
      </c>
      <c r="L640" s="31">
        <f>J640+K640</f>
        <v>3070.34</v>
      </c>
      <c r="M640" s="251"/>
      <c r="N640" s="255"/>
      <c r="O640" s="223"/>
    </row>
    <row r="641" spans="1:15" ht="33.75">
      <c r="A641" s="209"/>
      <c r="B641" s="259"/>
      <c r="C641" s="259"/>
      <c r="D641" s="304"/>
      <c r="E641" s="311"/>
      <c r="F641" s="142" t="s">
        <v>10</v>
      </c>
      <c r="G641" s="252"/>
      <c r="H641" s="256"/>
      <c r="I641" s="285"/>
      <c r="J641" s="15"/>
      <c r="K641" s="14">
        <v>4125.35</v>
      </c>
      <c r="L641" s="31">
        <f>J641+K641</f>
        <v>4125.35</v>
      </c>
      <c r="M641" s="252"/>
      <c r="N641" s="256"/>
      <c r="O641" s="224"/>
    </row>
    <row r="642" spans="1:15" ht="23.25" thickBot="1">
      <c r="A642" s="240"/>
      <c r="B642" s="274"/>
      <c r="C642" s="274"/>
      <c r="D642" s="305"/>
      <c r="E642" s="312"/>
      <c r="F642" s="143" t="s">
        <v>294</v>
      </c>
      <c r="G642" s="253"/>
      <c r="H642" s="257"/>
      <c r="I642" s="268"/>
      <c r="J642" s="83"/>
      <c r="K642" s="152">
        <v>720.36</v>
      </c>
      <c r="L642" s="50">
        <f>J642+K642</f>
        <v>720.36</v>
      </c>
      <c r="M642" s="253"/>
      <c r="N642" s="257"/>
      <c r="O642" s="225"/>
    </row>
    <row r="643" spans="1:15" ht="13.5" thickBot="1">
      <c r="A643" s="171" t="s">
        <v>872</v>
      </c>
      <c r="B643" s="172"/>
      <c r="C643" s="172"/>
      <c r="D643" s="178"/>
      <c r="E643" s="179"/>
      <c r="F643" s="190"/>
      <c r="G643" s="180">
        <f aca="true" t="shared" si="76" ref="G643:O643">G644</f>
        <v>0</v>
      </c>
      <c r="H643" s="181">
        <f t="shared" si="76"/>
        <v>120</v>
      </c>
      <c r="I643" s="182">
        <f t="shared" si="76"/>
        <v>120</v>
      </c>
      <c r="J643" s="183">
        <f t="shared" si="76"/>
        <v>0</v>
      </c>
      <c r="K643" s="181">
        <f t="shared" si="76"/>
        <v>115.2</v>
      </c>
      <c r="L643" s="182">
        <f t="shared" si="76"/>
        <v>115.2</v>
      </c>
      <c r="M643" s="180">
        <f t="shared" si="76"/>
        <v>0</v>
      </c>
      <c r="N643" s="181">
        <f t="shared" si="76"/>
        <v>4.799999999999997</v>
      </c>
      <c r="O643" s="182">
        <f t="shared" si="76"/>
        <v>4.799999999999997</v>
      </c>
    </row>
    <row r="644" spans="1:15" ht="25.5" customHeight="1" thickBot="1">
      <c r="A644" s="75" t="s">
        <v>873</v>
      </c>
      <c r="B644" s="76" t="s">
        <v>550</v>
      </c>
      <c r="C644" s="76" t="s">
        <v>874</v>
      </c>
      <c r="D644" s="77"/>
      <c r="E644" s="78"/>
      <c r="F644" s="143" t="s">
        <v>879</v>
      </c>
      <c r="G644" s="42"/>
      <c r="H644" s="38">
        <v>120</v>
      </c>
      <c r="I644" s="39">
        <f>SUM(G644:H644)</f>
        <v>120</v>
      </c>
      <c r="J644" s="37"/>
      <c r="K644" s="151">
        <v>115.2</v>
      </c>
      <c r="L644" s="39">
        <f>J644+K644</f>
        <v>115.2</v>
      </c>
      <c r="M644" s="42">
        <f>G643-J643</f>
        <v>0</v>
      </c>
      <c r="N644" s="38">
        <f>H643-K643</f>
        <v>4.799999999999997</v>
      </c>
      <c r="O644" s="39">
        <f>SUM(M644:N644)</f>
        <v>4.799999999999997</v>
      </c>
    </row>
    <row r="645" spans="1:15" ht="13.5" thickBot="1">
      <c r="A645" s="171" t="s">
        <v>142</v>
      </c>
      <c r="B645" s="172"/>
      <c r="C645" s="172"/>
      <c r="D645" s="178"/>
      <c r="E645" s="179"/>
      <c r="F645" s="190"/>
      <c r="G645" s="180">
        <f>G646</f>
        <v>0</v>
      </c>
      <c r="H645" s="181">
        <f>H646</f>
        <v>5573</v>
      </c>
      <c r="I645" s="182">
        <f>I646</f>
        <v>5573</v>
      </c>
      <c r="J645" s="183">
        <f>SUM(J646:J649)</f>
        <v>0</v>
      </c>
      <c r="K645" s="181">
        <f>SUM(K646:K649)</f>
        <v>3456.6</v>
      </c>
      <c r="L645" s="182">
        <f>SUM(L646:L649)</f>
        <v>3456.6</v>
      </c>
      <c r="M645" s="180">
        <f>M646</f>
        <v>0</v>
      </c>
      <c r="N645" s="181">
        <f>N646</f>
        <v>2116.4</v>
      </c>
      <c r="O645" s="182">
        <f>O646</f>
        <v>2116.4</v>
      </c>
    </row>
    <row r="646" spans="1:15" ht="27.75" customHeight="1">
      <c r="A646" s="273" t="s">
        <v>143</v>
      </c>
      <c r="B646" s="281" t="s">
        <v>550</v>
      </c>
      <c r="C646" s="281" t="s">
        <v>566</v>
      </c>
      <c r="D646" s="283"/>
      <c r="E646" s="211"/>
      <c r="F646" s="101" t="s">
        <v>877</v>
      </c>
      <c r="G646" s="250"/>
      <c r="H646" s="229">
        <f>8275-2000-702</f>
        <v>5573</v>
      </c>
      <c r="I646" s="267">
        <f>SUM(G646:H646)</f>
        <v>5573</v>
      </c>
      <c r="J646" s="12"/>
      <c r="K646" s="13">
        <v>1311</v>
      </c>
      <c r="L646" s="21">
        <f>J646+K646</f>
        <v>1311</v>
      </c>
      <c r="M646" s="250">
        <f>G645-J645</f>
        <v>0</v>
      </c>
      <c r="N646" s="229">
        <f>H645-K645</f>
        <v>2116.4</v>
      </c>
      <c r="O646" s="222">
        <f>SUM(M646:N646)</f>
        <v>2116.4</v>
      </c>
    </row>
    <row r="647" spans="1:15" ht="22.5">
      <c r="A647" s="259"/>
      <c r="B647" s="260"/>
      <c r="C647" s="260"/>
      <c r="D647" s="241"/>
      <c r="E647" s="212"/>
      <c r="F647" s="142" t="s">
        <v>875</v>
      </c>
      <c r="G647" s="251"/>
      <c r="H647" s="231"/>
      <c r="I647" s="285"/>
      <c r="J647" s="15"/>
      <c r="K647" s="14">
        <v>900</v>
      </c>
      <c r="L647" s="31">
        <f>J647+K647</f>
        <v>900</v>
      </c>
      <c r="M647" s="251"/>
      <c r="N647" s="231"/>
      <c r="O647" s="223"/>
    </row>
    <row r="648" spans="1:15" ht="28.5" customHeight="1">
      <c r="A648" s="259"/>
      <c r="B648" s="260"/>
      <c r="C648" s="260"/>
      <c r="D648" s="241"/>
      <c r="E648" s="212"/>
      <c r="F648" s="142" t="s">
        <v>876</v>
      </c>
      <c r="G648" s="252"/>
      <c r="H648" s="232"/>
      <c r="I648" s="285"/>
      <c r="J648" s="15"/>
      <c r="K648" s="14">
        <v>1152</v>
      </c>
      <c r="L648" s="31">
        <f>J648+K648</f>
        <v>1152</v>
      </c>
      <c r="M648" s="252"/>
      <c r="N648" s="232"/>
      <c r="O648" s="224"/>
    </row>
    <row r="649" spans="1:15" ht="23.25" thickBot="1">
      <c r="A649" s="259"/>
      <c r="B649" s="260"/>
      <c r="C649" s="260"/>
      <c r="D649" s="241"/>
      <c r="E649" s="212"/>
      <c r="F649" s="143" t="s">
        <v>878</v>
      </c>
      <c r="G649" s="252"/>
      <c r="H649" s="232"/>
      <c r="I649" s="285"/>
      <c r="J649" s="15"/>
      <c r="K649" s="93">
        <v>93.6</v>
      </c>
      <c r="L649" s="31">
        <f>J649+K649</f>
        <v>93.6</v>
      </c>
      <c r="M649" s="252"/>
      <c r="N649" s="232"/>
      <c r="O649" s="224"/>
    </row>
    <row r="650" spans="1:15" ht="13.5" thickBot="1">
      <c r="A650" s="171" t="s">
        <v>144</v>
      </c>
      <c r="B650" s="172"/>
      <c r="C650" s="172"/>
      <c r="D650" s="178"/>
      <c r="E650" s="179"/>
      <c r="F650" s="191"/>
      <c r="G650" s="180">
        <f>G651</f>
        <v>3515</v>
      </c>
      <c r="H650" s="181">
        <f>H651</f>
        <v>4500</v>
      </c>
      <c r="I650" s="182">
        <f>I651</f>
        <v>8015</v>
      </c>
      <c r="J650" s="183">
        <f>SUM(J651:J660)</f>
        <v>3355.42</v>
      </c>
      <c r="K650" s="181">
        <f>SUM(K651:K660)</f>
        <v>3817.6600000000003</v>
      </c>
      <c r="L650" s="182">
        <f>SUM(L651:L660)</f>
        <v>7173.08</v>
      </c>
      <c r="M650" s="180">
        <f>M651</f>
        <v>159.57999999999993</v>
      </c>
      <c r="N650" s="181">
        <f>N651</f>
        <v>682.3399999999997</v>
      </c>
      <c r="O650" s="182">
        <f>O651</f>
        <v>841.9199999999996</v>
      </c>
    </row>
    <row r="651" spans="1:15" ht="22.5">
      <c r="A651" s="258" t="s">
        <v>145</v>
      </c>
      <c r="B651" s="281" t="s">
        <v>550</v>
      </c>
      <c r="C651" s="281" t="s">
        <v>146</v>
      </c>
      <c r="D651" s="283"/>
      <c r="E651" s="211"/>
      <c r="F651" s="101" t="s">
        <v>147</v>
      </c>
      <c r="G651" s="250">
        <v>3515</v>
      </c>
      <c r="H651" s="254">
        <v>4500</v>
      </c>
      <c r="I651" s="267">
        <f>SUM(G651:H651)</f>
        <v>8015</v>
      </c>
      <c r="J651" s="12">
        <v>900</v>
      </c>
      <c r="K651" s="13"/>
      <c r="L651" s="21">
        <f aca="true" t="shared" si="77" ref="L651:L660">J651+K651</f>
        <v>900</v>
      </c>
      <c r="M651" s="250">
        <f>G650-J650</f>
        <v>159.57999999999993</v>
      </c>
      <c r="N651" s="254">
        <f>H650-K650</f>
        <v>682.3399999999997</v>
      </c>
      <c r="O651" s="222">
        <f>SUM(M651:N651)</f>
        <v>841.9199999999996</v>
      </c>
    </row>
    <row r="652" spans="1:15" ht="33.75">
      <c r="A652" s="220"/>
      <c r="B652" s="260"/>
      <c r="C652" s="260"/>
      <c r="D652" s="241"/>
      <c r="E652" s="212"/>
      <c r="F652" s="142" t="s">
        <v>148</v>
      </c>
      <c r="G652" s="251"/>
      <c r="H652" s="255"/>
      <c r="I652" s="285"/>
      <c r="J652" s="15">
        <v>353.52</v>
      </c>
      <c r="K652" s="14"/>
      <c r="L652" s="31">
        <f t="shared" si="77"/>
        <v>353.52</v>
      </c>
      <c r="M652" s="251"/>
      <c r="N652" s="255"/>
      <c r="O652" s="223"/>
    </row>
    <row r="653" spans="1:15" ht="22.5">
      <c r="A653" s="220"/>
      <c r="B653" s="260"/>
      <c r="C653" s="260"/>
      <c r="D653" s="241"/>
      <c r="E653" s="212"/>
      <c r="F653" s="142" t="s">
        <v>149</v>
      </c>
      <c r="G653" s="251"/>
      <c r="H653" s="255"/>
      <c r="I653" s="285"/>
      <c r="J653" s="15">
        <v>141.5</v>
      </c>
      <c r="K653" s="14"/>
      <c r="L653" s="31">
        <f t="shared" si="77"/>
        <v>141.5</v>
      </c>
      <c r="M653" s="251"/>
      <c r="N653" s="255"/>
      <c r="O653" s="223"/>
    </row>
    <row r="654" spans="1:15" ht="22.5">
      <c r="A654" s="220"/>
      <c r="B654" s="260"/>
      <c r="C654" s="260"/>
      <c r="D654" s="241"/>
      <c r="E654" s="212"/>
      <c r="F654" s="142" t="s">
        <v>150</v>
      </c>
      <c r="G654" s="251"/>
      <c r="H654" s="255"/>
      <c r="I654" s="285"/>
      <c r="J654" s="15">
        <v>141.12</v>
      </c>
      <c r="K654" s="14"/>
      <c r="L654" s="31">
        <f t="shared" si="77"/>
        <v>141.12</v>
      </c>
      <c r="M654" s="251"/>
      <c r="N654" s="255"/>
      <c r="O654" s="223"/>
    </row>
    <row r="655" spans="1:15" ht="22.5">
      <c r="A655" s="220"/>
      <c r="B655" s="260"/>
      <c r="C655" s="260"/>
      <c r="D655" s="241"/>
      <c r="E655" s="212"/>
      <c r="F655" s="142" t="s">
        <v>156</v>
      </c>
      <c r="G655" s="251"/>
      <c r="H655" s="255"/>
      <c r="I655" s="285"/>
      <c r="J655" s="15">
        <v>1.45</v>
      </c>
      <c r="K655" s="14"/>
      <c r="L655" s="31">
        <f t="shared" si="77"/>
        <v>1.45</v>
      </c>
      <c r="M655" s="251"/>
      <c r="N655" s="255"/>
      <c r="O655" s="223"/>
    </row>
    <row r="656" spans="1:15" ht="22.5">
      <c r="A656" s="220"/>
      <c r="B656" s="260"/>
      <c r="C656" s="260"/>
      <c r="D656" s="241"/>
      <c r="E656" s="212"/>
      <c r="F656" s="142" t="s">
        <v>157</v>
      </c>
      <c r="G656" s="251"/>
      <c r="H656" s="255"/>
      <c r="I656" s="285"/>
      <c r="J656" s="15"/>
      <c r="K656" s="14">
        <v>975.94</v>
      </c>
      <c r="L656" s="31">
        <f t="shared" si="77"/>
        <v>975.94</v>
      </c>
      <c r="M656" s="251"/>
      <c r="N656" s="255"/>
      <c r="O656" s="223"/>
    </row>
    <row r="657" spans="1:15" ht="22.5">
      <c r="A657" s="220"/>
      <c r="B657" s="260"/>
      <c r="C657" s="260"/>
      <c r="D657" s="241"/>
      <c r="E657" s="212"/>
      <c r="F657" s="142" t="s">
        <v>11</v>
      </c>
      <c r="G657" s="252"/>
      <c r="H657" s="256"/>
      <c r="I657" s="285"/>
      <c r="J657" s="15">
        <v>1817.83</v>
      </c>
      <c r="K657" s="14"/>
      <c r="L657" s="31">
        <f t="shared" si="77"/>
        <v>1817.83</v>
      </c>
      <c r="M657" s="252"/>
      <c r="N657" s="256"/>
      <c r="O657" s="224"/>
    </row>
    <row r="658" spans="1:15" ht="22.5">
      <c r="A658" s="220"/>
      <c r="B658" s="260"/>
      <c r="C658" s="260"/>
      <c r="D658" s="241"/>
      <c r="E658" s="212"/>
      <c r="F658" s="142" t="s">
        <v>295</v>
      </c>
      <c r="G658" s="252"/>
      <c r="H658" s="256"/>
      <c r="I658" s="285"/>
      <c r="J658" s="64"/>
      <c r="K658" s="156">
        <v>1838.4</v>
      </c>
      <c r="L658" s="51">
        <f t="shared" si="77"/>
        <v>1838.4</v>
      </c>
      <c r="M658" s="252"/>
      <c r="N658" s="256"/>
      <c r="O658" s="224"/>
    </row>
    <row r="659" spans="1:15" ht="22.5">
      <c r="A659" s="220"/>
      <c r="B659" s="260"/>
      <c r="C659" s="260"/>
      <c r="D659" s="241"/>
      <c r="E659" s="212"/>
      <c r="F659" s="142" t="s">
        <v>296</v>
      </c>
      <c r="G659" s="252"/>
      <c r="H659" s="256"/>
      <c r="I659" s="285"/>
      <c r="J659" s="15"/>
      <c r="K659" s="93">
        <v>567.38</v>
      </c>
      <c r="L659" s="31">
        <f t="shared" si="77"/>
        <v>567.38</v>
      </c>
      <c r="M659" s="252"/>
      <c r="N659" s="256"/>
      <c r="O659" s="224"/>
    </row>
    <row r="660" spans="1:15" ht="23.25" thickBot="1">
      <c r="A660" s="221"/>
      <c r="B660" s="282"/>
      <c r="C660" s="282"/>
      <c r="D660" s="284"/>
      <c r="E660" s="214"/>
      <c r="F660" s="143" t="s">
        <v>297</v>
      </c>
      <c r="G660" s="253"/>
      <c r="H660" s="257"/>
      <c r="I660" s="268"/>
      <c r="J660" s="83"/>
      <c r="K660" s="152">
        <v>435.94</v>
      </c>
      <c r="L660" s="50">
        <f t="shared" si="77"/>
        <v>435.94</v>
      </c>
      <c r="M660" s="253"/>
      <c r="N660" s="257"/>
      <c r="O660" s="225"/>
    </row>
    <row r="661" spans="1:15" ht="13.5" thickBot="1">
      <c r="A661" s="171" t="s">
        <v>817</v>
      </c>
      <c r="B661" s="172"/>
      <c r="C661" s="172"/>
      <c r="D661" s="178"/>
      <c r="E661" s="179"/>
      <c r="F661" s="179"/>
      <c r="G661" s="180">
        <f aca="true" t="shared" si="78" ref="G661:O661">G662</f>
        <v>0</v>
      </c>
      <c r="H661" s="181">
        <f t="shared" si="78"/>
        <v>242</v>
      </c>
      <c r="I661" s="182">
        <f t="shared" si="78"/>
        <v>242</v>
      </c>
      <c r="J661" s="183">
        <f t="shared" si="78"/>
        <v>0</v>
      </c>
      <c r="K661" s="181">
        <f t="shared" si="78"/>
        <v>241.2</v>
      </c>
      <c r="L661" s="182">
        <f t="shared" si="78"/>
        <v>241.2</v>
      </c>
      <c r="M661" s="180">
        <f t="shared" si="78"/>
        <v>0</v>
      </c>
      <c r="N661" s="181">
        <f t="shared" si="78"/>
        <v>0.8000000000000114</v>
      </c>
      <c r="O661" s="182">
        <f t="shared" si="78"/>
        <v>0.8000000000000114</v>
      </c>
    </row>
    <row r="662" spans="1:15" ht="36.75" thickBot="1">
      <c r="A662" s="75" t="s">
        <v>818</v>
      </c>
      <c r="B662" s="76" t="s">
        <v>550</v>
      </c>
      <c r="C662" s="76" t="s">
        <v>819</v>
      </c>
      <c r="D662" s="77"/>
      <c r="E662" s="78"/>
      <c r="F662" s="99" t="s">
        <v>820</v>
      </c>
      <c r="G662" s="42"/>
      <c r="H662" s="38">
        <v>242</v>
      </c>
      <c r="I662" s="94">
        <f>SUM(G662:H662)</f>
        <v>242</v>
      </c>
      <c r="J662" s="37"/>
      <c r="K662" s="192">
        <v>241.2</v>
      </c>
      <c r="L662" s="39">
        <f>J662+K662</f>
        <v>241.2</v>
      </c>
      <c r="M662" s="42">
        <f>G661-J661</f>
        <v>0</v>
      </c>
      <c r="N662" s="38">
        <f>H661-K661</f>
        <v>0.8000000000000114</v>
      </c>
      <c r="O662" s="39">
        <f>SUM(M662:N662)</f>
        <v>0.8000000000000114</v>
      </c>
    </row>
    <row r="663" spans="1:15" ht="13.5" thickBot="1">
      <c r="A663" s="171" t="s">
        <v>158</v>
      </c>
      <c r="B663" s="172"/>
      <c r="C663" s="172"/>
      <c r="D663" s="178"/>
      <c r="E663" s="179"/>
      <c r="F663" s="190"/>
      <c r="G663" s="180">
        <f aca="true" t="shared" si="79" ref="G663:O663">G664</f>
        <v>5000</v>
      </c>
      <c r="H663" s="181">
        <f t="shared" si="79"/>
        <v>802</v>
      </c>
      <c r="I663" s="182">
        <f t="shared" si="79"/>
        <v>5802</v>
      </c>
      <c r="J663" s="183">
        <f t="shared" si="79"/>
        <v>0</v>
      </c>
      <c r="K663" s="181">
        <f t="shared" si="79"/>
        <v>0</v>
      </c>
      <c r="L663" s="182">
        <f t="shared" si="79"/>
        <v>0</v>
      </c>
      <c r="M663" s="180">
        <f t="shared" si="79"/>
        <v>5000</v>
      </c>
      <c r="N663" s="181">
        <f t="shared" si="79"/>
        <v>802</v>
      </c>
      <c r="O663" s="182">
        <f t="shared" si="79"/>
        <v>5802</v>
      </c>
    </row>
    <row r="664" spans="1:15" ht="25.5" customHeight="1" thickBot="1">
      <c r="A664" s="75" t="s">
        <v>159</v>
      </c>
      <c r="B664" s="76" t="s">
        <v>550</v>
      </c>
      <c r="C664" s="76" t="s">
        <v>625</v>
      </c>
      <c r="D664" s="77"/>
      <c r="E664" s="78"/>
      <c r="F664" s="77"/>
      <c r="G664" s="42">
        <v>5000</v>
      </c>
      <c r="H664" s="192">
        <f>9102-4000-1300-3000</f>
        <v>802</v>
      </c>
      <c r="I664" s="39">
        <f>SUM(G664:H664)</f>
        <v>5802</v>
      </c>
      <c r="J664" s="37"/>
      <c r="K664" s="38"/>
      <c r="L664" s="39">
        <f>J664+K664</f>
        <v>0</v>
      </c>
      <c r="M664" s="42">
        <f>G663-J663</f>
        <v>5000</v>
      </c>
      <c r="N664" s="151">
        <f>H663-K663</f>
        <v>802</v>
      </c>
      <c r="O664" s="39">
        <f>SUM(M664:N664)</f>
        <v>5802</v>
      </c>
    </row>
    <row r="665" spans="1:15" ht="13.5" thickBot="1">
      <c r="A665" s="171" t="s">
        <v>160</v>
      </c>
      <c r="B665" s="172"/>
      <c r="C665" s="172"/>
      <c r="D665" s="178"/>
      <c r="E665" s="179"/>
      <c r="F665" s="191"/>
      <c r="G665" s="180">
        <f>G666</f>
        <v>11400</v>
      </c>
      <c r="H665" s="181">
        <f>H666</f>
        <v>7644</v>
      </c>
      <c r="I665" s="182">
        <f>I666</f>
        <v>19044</v>
      </c>
      <c r="J665" s="183">
        <f>SUM(J666:J667)</f>
        <v>5181.42</v>
      </c>
      <c r="K665" s="181">
        <f>SUM(K666:K667)</f>
        <v>7635.84</v>
      </c>
      <c r="L665" s="182">
        <f>SUM(L666:L667)</f>
        <v>12817.26</v>
      </c>
      <c r="M665" s="180">
        <f>M666</f>
        <v>6218.58</v>
      </c>
      <c r="N665" s="181">
        <f>N666</f>
        <v>8.159999999999854</v>
      </c>
      <c r="O665" s="182">
        <f>O666</f>
        <v>6226.74</v>
      </c>
    </row>
    <row r="666" spans="1:15" ht="33.75">
      <c r="A666" s="273" t="s">
        <v>161</v>
      </c>
      <c r="B666" s="281" t="s">
        <v>550</v>
      </c>
      <c r="C666" s="281" t="s">
        <v>533</v>
      </c>
      <c r="D666" s="283"/>
      <c r="E666" s="277"/>
      <c r="F666" s="101" t="s">
        <v>12</v>
      </c>
      <c r="G666" s="263">
        <f>12000-600</f>
        <v>11400</v>
      </c>
      <c r="H666" s="279">
        <f>10780-3136</f>
        <v>7644</v>
      </c>
      <c r="I666" s="267">
        <f>SUM(G666:H666)</f>
        <v>19044</v>
      </c>
      <c r="J666" s="12">
        <v>5181.42</v>
      </c>
      <c r="K666" s="13"/>
      <c r="L666" s="21">
        <f>J666+K666</f>
        <v>5181.42</v>
      </c>
      <c r="M666" s="263">
        <f>G665-J665</f>
        <v>6218.58</v>
      </c>
      <c r="N666" s="265">
        <f>H665-K665</f>
        <v>8.159999999999854</v>
      </c>
      <c r="O666" s="267">
        <f>SUM(M666:N666)</f>
        <v>6226.74</v>
      </c>
    </row>
    <row r="667" spans="1:15" ht="34.5" thickBot="1">
      <c r="A667" s="274"/>
      <c r="B667" s="282"/>
      <c r="C667" s="282"/>
      <c r="D667" s="284"/>
      <c r="E667" s="278"/>
      <c r="F667" s="143" t="s">
        <v>268</v>
      </c>
      <c r="G667" s="264"/>
      <c r="H667" s="280"/>
      <c r="I667" s="268"/>
      <c r="J667" s="83"/>
      <c r="K667" s="195">
        <v>7635.84</v>
      </c>
      <c r="L667" s="50">
        <f>J667+K667</f>
        <v>7635.84</v>
      </c>
      <c r="M667" s="264"/>
      <c r="N667" s="266"/>
      <c r="O667" s="268"/>
    </row>
    <row r="668" spans="1:15" ht="13.5" thickBot="1">
      <c r="A668" s="171" t="s">
        <v>162</v>
      </c>
      <c r="B668" s="172"/>
      <c r="C668" s="172"/>
      <c r="D668" s="178"/>
      <c r="E668" s="179"/>
      <c r="F668" s="189"/>
      <c r="G668" s="180">
        <f>G669</f>
        <v>16000</v>
      </c>
      <c r="H668" s="181">
        <f>H669</f>
        <v>13436</v>
      </c>
      <c r="I668" s="182">
        <f>I669</f>
        <v>29436</v>
      </c>
      <c r="J668" s="183">
        <f>SUM(J669:J672)</f>
        <v>15591.779999999999</v>
      </c>
      <c r="K668" s="181">
        <f>SUM(K669:K672)</f>
        <v>13435.5</v>
      </c>
      <c r="L668" s="182">
        <f>SUM(L669:L672)</f>
        <v>29027.28</v>
      </c>
      <c r="M668" s="180">
        <f>M669</f>
        <v>408.22000000000116</v>
      </c>
      <c r="N668" s="181">
        <f>N669</f>
        <v>0.5</v>
      </c>
      <c r="O668" s="182">
        <f>O669</f>
        <v>408.72000000000116</v>
      </c>
    </row>
    <row r="669" spans="1:15" ht="22.5">
      <c r="A669" s="239" t="s">
        <v>163</v>
      </c>
      <c r="B669" s="281" t="s">
        <v>550</v>
      </c>
      <c r="C669" s="281" t="s">
        <v>269</v>
      </c>
      <c r="D669" s="283"/>
      <c r="E669" s="211"/>
      <c r="F669" s="101" t="s">
        <v>164</v>
      </c>
      <c r="G669" s="250">
        <v>16000</v>
      </c>
      <c r="H669" s="313">
        <f>5000+8436</f>
        <v>13436</v>
      </c>
      <c r="I669" s="267">
        <f>SUM(G669:H669)</f>
        <v>29436</v>
      </c>
      <c r="J669" s="12">
        <v>4228.2</v>
      </c>
      <c r="K669" s="13"/>
      <c r="L669" s="21">
        <f>J669+K669</f>
        <v>4228.2</v>
      </c>
      <c r="M669" s="250">
        <f>G668-J668</f>
        <v>408.22000000000116</v>
      </c>
      <c r="N669" s="254">
        <f>H668-K668</f>
        <v>0.5</v>
      </c>
      <c r="O669" s="222">
        <f>SUM(M669:N669)</f>
        <v>408.72000000000116</v>
      </c>
    </row>
    <row r="670" spans="1:15" ht="33.75">
      <c r="A670" s="209"/>
      <c r="B670" s="260"/>
      <c r="C670" s="260"/>
      <c r="D670" s="241"/>
      <c r="E670" s="212"/>
      <c r="F670" s="142" t="s">
        <v>13</v>
      </c>
      <c r="G670" s="251"/>
      <c r="H670" s="314"/>
      <c r="I670" s="285"/>
      <c r="J670" s="15">
        <v>2510.52</v>
      </c>
      <c r="K670" s="14"/>
      <c r="L670" s="31">
        <f>J670+K670</f>
        <v>2510.52</v>
      </c>
      <c r="M670" s="251"/>
      <c r="N670" s="255"/>
      <c r="O670" s="223"/>
    </row>
    <row r="671" spans="1:15" ht="33.75">
      <c r="A671" s="209"/>
      <c r="B671" s="260"/>
      <c r="C671" s="260"/>
      <c r="D671" s="241"/>
      <c r="E671" s="212"/>
      <c r="F671" s="142" t="s">
        <v>14</v>
      </c>
      <c r="G671" s="252"/>
      <c r="H671" s="315"/>
      <c r="I671" s="285"/>
      <c r="J671" s="15">
        <v>8853.06</v>
      </c>
      <c r="K671" s="14"/>
      <c r="L671" s="31">
        <f>J671+K671</f>
        <v>8853.06</v>
      </c>
      <c r="M671" s="252"/>
      <c r="N671" s="256"/>
      <c r="O671" s="224"/>
    </row>
    <row r="672" spans="1:15" ht="34.5" thickBot="1">
      <c r="A672" s="240"/>
      <c r="B672" s="282"/>
      <c r="C672" s="282"/>
      <c r="D672" s="284"/>
      <c r="E672" s="214"/>
      <c r="F672" s="143" t="s">
        <v>267</v>
      </c>
      <c r="G672" s="253"/>
      <c r="H672" s="316"/>
      <c r="I672" s="268"/>
      <c r="J672" s="83"/>
      <c r="K672" s="195">
        <v>13435.5</v>
      </c>
      <c r="L672" s="50">
        <f>J672+K672</f>
        <v>13435.5</v>
      </c>
      <c r="M672" s="253"/>
      <c r="N672" s="257"/>
      <c r="O672" s="225"/>
    </row>
    <row r="673" spans="1:15" ht="13.5" thickBot="1">
      <c r="A673" s="171" t="s">
        <v>165</v>
      </c>
      <c r="B673" s="172"/>
      <c r="C673" s="172"/>
      <c r="D673" s="178"/>
      <c r="E673" s="179"/>
      <c r="F673" s="189"/>
      <c r="G673" s="180">
        <f>G674</f>
        <v>5000</v>
      </c>
      <c r="H673" s="181">
        <f>H674</f>
        <v>6000</v>
      </c>
      <c r="I673" s="182">
        <f>I674</f>
        <v>11000</v>
      </c>
      <c r="J673" s="183">
        <f>SUM(J674:J678)</f>
        <v>2509.36</v>
      </c>
      <c r="K673" s="181">
        <f>SUM(K674:K678)</f>
        <v>6000</v>
      </c>
      <c r="L673" s="182">
        <f>SUM(L674:L678)</f>
        <v>8509.36</v>
      </c>
      <c r="M673" s="180">
        <f>M674</f>
        <v>2490.64</v>
      </c>
      <c r="N673" s="181">
        <f>N674</f>
        <v>0</v>
      </c>
      <c r="O673" s="182">
        <f>O674</f>
        <v>2490.64</v>
      </c>
    </row>
    <row r="674" spans="1:15" ht="33.75">
      <c r="A674" s="239" t="s">
        <v>166</v>
      </c>
      <c r="B674" s="281" t="s">
        <v>550</v>
      </c>
      <c r="C674" s="281" t="s">
        <v>316</v>
      </c>
      <c r="D674" s="283"/>
      <c r="E674" s="211"/>
      <c r="F674" s="101" t="s">
        <v>167</v>
      </c>
      <c r="G674" s="250">
        <v>5000</v>
      </c>
      <c r="H674" s="254">
        <v>6000</v>
      </c>
      <c r="I674" s="226">
        <f>SUM(G674:H674)</f>
        <v>11000</v>
      </c>
      <c r="J674" s="13">
        <v>25</v>
      </c>
      <c r="K674" s="13"/>
      <c r="L674" s="117">
        <f>J674+K674</f>
        <v>25</v>
      </c>
      <c r="M674" s="254">
        <f>G673-J673</f>
        <v>2490.64</v>
      </c>
      <c r="N674" s="254">
        <f>H673-K673</f>
        <v>0</v>
      </c>
      <c r="O674" s="222">
        <f>SUM(M674:N674)</f>
        <v>2490.64</v>
      </c>
    </row>
    <row r="675" spans="1:15" ht="12.75">
      <c r="A675" s="209"/>
      <c r="B675" s="260"/>
      <c r="C675" s="260"/>
      <c r="D675" s="241"/>
      <c r="E675" s="212"/>
      <c r="F675" s="142" t="s">
        <v>168</v>
      </c>
      <c r="G675" s="251"/>
      <c r="H675" s="255"/>
      <c r="I675" s="227"/>
      <c r="J675" s="14">
        <v>25</v>
      </c>
      <c r="K675" s="14"/>
      <c r="L675" s="60">
        <f>J675+K675</f>
        <v>25</v>
      </c>
      <c r="M675" s="255"/>
      <c r="N675" s="255"/>
      <c r="O675" s="223"/>
    </row>
    <row r="676" spans="1:16" ht="22.5">
      <c r="A676" s="209"/>
      <c r="B676" s="260"/>
      <c r="C676" s="260"/>
      <c r="D676" s="241"/>
      <c r="E676" s="212"/>
      <c r="F676" s="142" t="s">
        <v>169</v>
      </c>
      <c r="G676" s="251"/>
      <c r="H676" s="255"/>
      <c r="I676" s="227"/>
      <c r="J676" s="14">
        <v>2000</v>
      </c>
      <c r="K676" s="14"/>
      <c r="L676" s="60">
        <f>J676+K676</f>
        <v>2000</v>
      </c>
      <c r="M676" s="255"/>
      <c r="N676" s="255"/>
      <c r="O676" s="223"/>
      <c r="P676">
        <f>N664+N646+N628+N591+N582+N550+N548+N541+N537+N534+N510+N486+N480+N466+N463+N457+N457+N455+N451+N448+N446+N442+N440+N436+N438+N434+N432+N430+N413+N408+N397+N387+N378+N372+N356+N350+N345+N340+N338+N333+N331+N292+N288+N286+N269+N265</f>
        <v>72402.62000000001</v>
      </c>
    </row>
    <row r="677" spans="1:15" ht="22.5">
      <c r="A677" s="209"/>
      <c r="B677" s="260"/>
      <c r="C677" s="260"/>
      <c r="D677" s="241"/>
      <c r="E677" s="212"/>
      <c r="F677" s="142" t="s">
        <v>15</v>
      </c>
      <c r="G677" s="252"/>
      <c r="H677" s="256"/>
      <c r="I677" s="227"/>
      <c r="J677" s="14">
        <v>459.36</v>
      </c>
      <c r="K677" s="14"/>
      <c r="L677" s="60">
        <f>J677+K677</f>
        <v>459.36</v>
      </c>
      <c r="M677" s="256"/>
      <c r="N677" s="256"/>
      <c r="O677" s="224"/>
    </row>
    <row r="678" spans="1:15" ht="23.25" thickBot="1">
      <c r="A678" s="240"/>
      <c r="B678" s="282"/>
      <c r="C678" s="282"/>
      <c r="D678" s="284"/>
      <c r="E678" s="214"/>
      <c r="F678" s="143" t="s">
        <v>624</v>
      </c>
      <c r="G678" s="253"/>
      <c r="H678" s="257"/>
      <c r="I678" s="228"/>
      <c r="J678" s="82"/>
      <c r="K678" s="82">
        <v>6000</v>
      </c>
      <c r="L678" s="84">
        <f>J678+K678</f>
        <v>6000</v>
      </c>
      <c r="M678" s="257"/>
      <c r="N678" s="257"/>
      <c r="O678" s="225"/>
    </row>
    <row r="679" spans="1:15" ht="28.5" customHeight="1" thickBot="1">
      <c r="A679" s="120" t="s">
        <v>170</v>
      </c>
      <c r="B679" s="121"/>
      <c r="C679" s="124" t="s">
        <v>700</v>
      </c>
      <c r="D679" s="121"/>
      <c r="E679" s="122"/>
      <c r="F679" s="32"/>
      <c r="G679" s="160">
        <f>G262+G264+G266+G268+G270+G272+G275+G277+G279+G281+G283+G285+G287+G289+G291+G309+G326+G330+G332+G335+G337+G339+G344+G349+G355+G360+G371+G373+G377+G379+G381+G383+G386+G388+G393+G396+G403+G407+G412+G414+G429+G431+G433+G435+G437+G439+G441+G443+G445+G447+G450+G452+G454+G456+G462+G465+G467+G469+G474+G479+G485+G487+G492+G498+G500+G504+G509+G513+G522+G527+G531+G533+G536+G538+G540+G547+G549+G552+G554+G557+G561+G571+G576+G581+G586+G588+G590+G592+G594+G597+G599+G601+G606+G623+G625+G627+G629+G631+G637+G643+G645+G650+G661+G663+G665+G668+G673+G604+G323</f>
        <v>325652</v>
      </c>
      <c r="H679" s="160">
        <f aca="true" t="shared" si="80" ref="H679:O679">H262+H264+H266+H268+H270+H272+H275+H277+H279+H281+H283+H285+H287+H289+H291+H309+H326+H330+H332+H335+H337+H339+H344+H349+H355+H360+H371+H373+H377+H379+H381+H383+H386+H388+H393+H396+H403+H407+H412+H414+H429+H431+H433+H435+H437+H439+H441+H443+H445+H447+H450+H452+H454+H456+H462+H465+H467+H469+H474+H479+H485+H487+H492+H498+H500+H504+H509+H513+H522+H527+H531+H533+H536+H538+H540+H547+H549+H552+H554+H557+H561+H571+H576+H581+H586+H588+H590+H592+H594+H597+H599+H601+H606+H623+H625+H627+H629+H631+H637+H643+H645+H650+H661+H663+H665+H668+H673+H604+H323</f>
        <v>787865</v>
      </c>
      <c r="I679" s="160">
        <f t="shared" si="80"/>
        <v>1113517</v>
      </c>
      <c r="J679" s="160">
        <f t="shared" si="80"/>
        <v>294344.16299999994</v>
      </c>
      <c r="K679" s="160">
        <f t="shared" si="80"/>
        <v>632343.9299999999</v>
      </c>
      <c r="L679" s="160">
        <f t="shared" si="80"/>
        <v>919044.8929999997</v>
      </c>
      <c r="M679" s="160">
        <f t="shared" si="80"/>
        <v>31307.837000000007</v>
      </c>
      <c r="N679" s="160">
        <f t="shared" si="80"/>
        <v>152951.58000000005</v>
      </c>
      <c r="O679" s="160">
        <f t="shared" si="80"/>
        <v>184259.417</v>
      </c>
    </row>
    <row r="680" spans="1:15" ht="12.75" hidden="1">
      <c r="A680" s="43"/>
      <c r="B680" s="44"/>
      <c r="C680" s="36"/>
      <c r="D680" s="44"/>
      <c r="E680" s="45"/>
      <c r="F680" s="45"/>
      <c r="G680" s="109">
        <v>321382</v>
      </c>
      <c r="H680" s="109">
        <v>973368</v>
      </c>
      <c r="I680" s="109"/>
      <c r="J680" s="109"/>
      <c r="K680" s="109"/>
      <c r="L680" s="109"/>
      <c r="M680" s="110"/>
      <c r="N680" s="110"/>
      <c r="O680" s="110"/>
    </row>
    <row r="681" spans="1:15" ht="12.75" hidden="1">
      <c r="A681" s="43"/>
      <c r="B681" s="44"/>
      <c r="C681" s="36"/>
      <c r="D681" s="44"/>
      <c r="E681" s="45"/>
      <c r="F681" s="45"/>
      <c r="G681" s="110"/>
      <c r="H681" s="110"/>
      <c r="I681" s="110"/>
      <c r="J681" s="109"/>
      <c r="K681" s="109"/>
      <c r="L681" s="109"/>
      <c r="M681" s="110"/>
      <c r="N681" s="110"/>
      <c r="O681" s="110"/>
    </row>
    <row r="682" spans="1:6" ht="13.5" hidden="1" thickBot="1">
      <c r="A682" s="33"/>
      <c r="B682" s="34"/>
      <c r="C682" s="35"/>
      <c r="D682" s="34"/>
      <c r="E682" s="32"/>
      <c r="F682" s="32"/>
    </row>
    <row r="683" ht="12.75">
      <c r="A683" s="3"/>
    </row>
    <row r="684" ht="15">
      <c r="A684" s="5" t="s">
        <v>669</v>
      </c>
    </row>
    <row r="685" ht="12.75">
      <c r="A685" s="3"/>
    </row>
    <row r="686" ht="12.75">
      <c r="A686" s="4" t="s">
        <v>171</v>
      </c>
    </row>
    <row r="687" ht="12.75">
      <c r="A687" s="4" t="s">
        <v>172</v>
      </c>
    </row>
    <row r="688" ht="12.75">
      <c r="A688" s="6"/>
    </row>
  </sheetData>
  <mergeCells count="869">
    <mergeCell ref="G528:G530"/>
    <mergeCell ref="H528:H530"/>
    <mergeCell ref="I528:I530"/>
    <mergeCell ref="M595:M596"/>
    <mergeCell ref="I582:I585"/>
    <mergeCell ref="I541:I546"/>
    <mergeCell ref="M541:M546"/>
    <mergeCell ref="I572:I575"/>
    <mergeCell ref="M572:M575"/>
    <mergeCell ref="I577:I580"/>
    <mergeCell ref="N595:N596"/>
    <mergeCell ref="O595:O596"/>
    <mergeCell ref="M528:M530"/>
    <mergeCell ref="N528:N530"/>
    <mergeCell ref="O528:O530"/>
    <mergeCell ref="M582:M585"/>
    <mergeCell ref="N582:N585"/>
    <mergeCell ref="O582:O585"/>
    <mergeCell ref="N534:N535"/>
    <mergeCell ref="O534:O535"/>
    <mergeCell ref="N632:N636"/>
    <mergeCell ref="O632:O636"/>
    <mergeCell ref="A595:A596"/>
    <mergeCell ref="B595:B596"/>
    <mergeCell ref="C595:C596"/>
    <mergeCell ref="D595:D596"/>
    <mergeCell ref="E595:E596"/>
    <mergeCell ref="G595:G596"/>
    <mergeCell ref="H595:H596"/>
    <mergeCell ref="A632:A633"/>
    <mergeCell ref="C528:C530"/>
    <mergeCell ref="D528:D530"/>
    <mergeCell ref="I632:I636"/>
    <mergeCell ref="M632:M636"/>
    <mergeCell ref="C632:C636"/>
    <mergeCell ref="D632:D633"/>
    <mergeCell ref="E632:E633"/>
    <mergeCell ref="G632:G636"/>
    <mergeCell ref="H632:H636"/>
    <mergeCell ref="I595:I596"/>
    <mergeCell ref="N394:N395"/>
    <mergeCell ref="O394:O395"/>
    <mergeCell ref="O488:O491"/>
    <mergeCell ref="N475:N478"/>
    <mergeCell ref="O475:O478"/>
    <mergeCell ref="N480:N484"/>
    <mergeCell ref="O480:O484"/>
    <mergeCell ref="N457:N461"/>
    <mergeCell ref="N463:N464"/>
    <mergeCell ref="N470:N473"/>
    <mergeCell ref="M111:M130"/>
    <mergeCell ref="E534:E535"/>
    <mergeCell ref="G534:G535"/>
    <mergeCell ref="H534:H535"/>
    <mergeCell ref="I534:I535"/>
    <mergeCell ref="M534:M535"/>
    <mergeCell ref="M394:M395"/>
    <mergeCell ref="M480:M484"/>
    <mergeCell ref="E111:E130"/>
    <mergeCell ref="H111:H130"/>
    <mergeCell ref="G111:G130"/>
    <mergeCell ref="I111:I130"/>
    <mergeCell ref="A111:A130"/>
    <mergeCell ref="B111:B130"/>
    <mergeCell ref="C111:C130"/>
    <mergeCell ref="D111:D130"/>
    <mergeCell ref="G253:G254"/>
    <mergeCell ref="H253:H254"/>
    <mergeCell ref="G78:G86"/>
    <mergeCell ref="H78:H86"/>
    <mergeCell ref="G88:G89"/>
    <mergeCell ref="H88:H89"/>
    <mergeCell ref="G132:G141"/>
    <mergeCell ref="H132:H141"/>
    <mergeCell ref="G176:G179"/>
    <mergeCell ref="H176:H179"/>
    <mergeCell ref="G1:H1"/>
    <mergeCell ref="I1:K1"/>
    <mergeCell ref="G11:I11"/>
    <mergeCell ref="J11:L11"/>
    <mergeCell ref="L1:N1"/>
    <mergeCell ref="M11:O11"/>
    <mergeCell ref="I394:I395"/>
    <mergeCell ref="I480:I484"/>
    <mergeCell ref="I273:I274"/>
    <mergeCell ref="I415:I428"/>
    <mergeCell ref="N111:N130"/>
    <mergeCell ref="I253:I254"/>
    <mergeCell ref="J253:J254"/>
    <mergeCell ref="I78:I86"/>
    <mergeCell ref="M78:M86"/>
    <mergeCell ref="I93:I109"/>
    <mergeCell ref="M93:M109"/>
    <mergeCell ref="N78:N86"/>
    <mergeCell ref="N155:N171"/>
    <mergeCell ref="N173:N174"/>
    <mergeCell ref="O68:O74"/>
    <mergeCell ref="G68:G74"/>
    <mergeCell ref="H68:H74"/>
    <mergeCell ref="I68:I74"/>
    <mergeCell ref="M68:M74"/>
    <mergeCell ref="N68:N74"/>
    <mergeCell ref="N65:N66"/>
    <mergeCell ref="O65:O66"/>
    <mergeCell ref="G57:G63"/>
    <mergeCell ref="H57:H63"/>
    <mergeCell ref="G65:G66"/>
    <mergeCell ref="H65:H66"/>
    <mergeCell ref="I65:I66"/>
    <mergeCell ref="M65:M66"/>
    <mergeCell ref="I57:I63"/>
    <mergeCell ref="M57:M63"/>
    <mergeCell ref="N38:N48"/>
    <mergeCell ref="O38:O48"/>
    <mergeCell ref="N52:N55"/>
    <mergeCell ref="O52:O55"/>
    <mergeCell ref="N57:N63"/>
    <mergeCell ref="O57:O63"/>
    <mergeCell ref="G52:G55"/>
    <mergeCell ref="H52:H55"/>
    <mergeCell ref="I52:I55"/>
    <mergeCell ref="M52:M55"/>
    <mergeCell ref="N35:N36"/>
    <mergeCell ref="O35:O36"/>
    <mergeCell ref="G38:G48"/>
    <mergeCell ref="H38:H48"/>
    <mergeCell ref="I38:I48"/>
    <mergeCell ref="M38:M48"/>
    <mergeCell ref="G35:G36"/>
    <mergeCell ref="H35:H36"/>
    <mergeCell ref="M35:M36"/>
    <mergeCell ref="I35:I36"/>
    <mergeCell ref="J24:J25"/>
    <mergeCell ref="K24:K25"/>
    <mergeCell ref="L24:L25"/>
    <mergeCell ref="F26:F27"/>
    <mergeCell ref="J26:J27"/>
    <mergeCell ref="K26:K27"/>
    <mergeCell ref="L26:L27"/>
    <mergeCell ref="G22:G33"/>
    <mergeCell ref="F24:F25"/>
    <mergeCell ref="N22:N33"/>
    <mergeCell ref="O22:O33"/>
    <mergeCell ref="A7:F7"/>
    <mergeCell ref="A8:F8"/>
    <mergeCell ref="A9:F9"/>
    <mergeCell ref="A10:F10"/>
    <mergeCell ref="E22:E33"/>
    <mergeCell ref="M22:M33"/>
    <mergeCell ref="H22:H33"/>
    <mergeCell ref="I22:I33"/>
    <mergeCell ref="E669:E672"/>
    <mergeCell ref="A674:A678"/>
    <mergeCell ref="B674:B678"/>
    <mergeCell ref="C674:C678"/>
    <mergeCell ref="D674:D678"/>
    <mergeCell ref="E674:E678"/>
    <mergeCell ref="A669:A672"/>
    <mergeCell ref="B669:B672"/>
    <mergeCell ref="C669:C672"/>
    <mergeCell ref="D669:D672"/>
    <mergeCell ref="E651:E660"/>
    <mergeCell ref="A646:A649"/>
    <mergeCell ref="B646:B649"/>
    <mergeCell ref="F253:F254"/>
    <mergeCell ref="A534:A535"/>
    <mergeCell ref="B534:B535"/>
    <mergeCell ref="C534:C535"/>
    <mergeCell ref="D534:D535"/>
    <mergeCell ref="A528:A530"/>
    <mergeCell ref="B528:B530"/>
    <mergeCell ref="C602:C603"/>
    <mergeCell ref="A602:A603"/>
    <mergeCell ref="B602:B603"/>
    <mergeCell ref="E646:E649"/>
    <mergeCell ref="B632:B633"/>
    <mergeCell ref="C646:C649"/>
    <mergeCell ref="C607:C622"/>
    <mergeCell ref="A638:A642"/>
    <mergeCell ref="B638:B642"/>
    <mergeCell ref="C638:C642"/>
    <mergeCell ref="A651:A660"/>
    <mergeCell ref="B651:B660"/>
    <mergeCell ref="C651:C660"/>
    <mergeCell ref="D651:D660"/>
    <mergeCell ref="H669:H672"/>
    <mergeCell ref="E602:E603"/>
    <mergeCell ref="D607:D622"/>
    <mergeCell ref="E607:E622"/>
    <mergeCell ref="E638:E642"/>
    <mergeCell ref="D646:D649"/>
    <mergeCell ref="D638:D642"/>
    <mergeCell ref="G607:G622"/>
    <mergeCell ref="D602:D603"/>
    <mergeCell ref="G669:G672"/>
    <mergeCell ref="N646:N649"/>
    <mergeCell ref="O646:O649"/>
    <mergeCell ref="G651:G660"/>
    <mergeCell ref="H651:H660"/>
    <mergeCell ref="I651:I660"/>
    <mergeCell ref="M651:M660"/>
    <mergeCell ref="N651:N660"/>
    <mergeCell ref="O651:O660"/>
    <mergeCell ref="G646:G649"/>
    <mergeCell ref="H646:H649"/>
    <mergeCell ref="I646:I649"/>
    <mergeCell ref="M646:M649"/>
    <mergeCell ref="D562:D570"/>
    <mergeCell ref="E577:E580"/>
    <mergeCell ref="G562:G570"/>
    <mergeCell ref="H562:H570"/>
    <mergeCell ref="I562:I570"/>
    <mergeCell ref="M562:M570"/>
    <mergeCell ref="G572:G575"/>
    <mergeCell ref="H572:H575"/>
    <mergeCell ref="A577:A580"/>
    <mergeCell ref="B577:B580"/>
    <mergeCell ref="C577:C580"/>
    <mergeCell ref="D577:D580"/>
    <mergeCell ref="E558:E560"/>
    <mergeCell ref="E562:E570"/>
    <mergeCell ref="A572:A575"/>
    <mergeCell ref="B572:B575"/>
    <mergeCell ref="C572:C575"/>
    <mergeCell ref="D572:D575"/>
    <mergeCell ref="E572:E575"/>
    <mergeCell ref="A562:A570"/>
    <mergeCell ref="B562:B570"/>
    <mergeCell ref="C562:C570"/>
    <mergeCell ref="A558:A560"/>
    <mergeCell ref="B558:B560"/>
    <mergeCell ref="C558:C560"/>
    <mergeCell ref="D558:D560"/>
    <mergeCell ref="A550:A551"/>
    <mergeCell ref="B550:B551"/>
    <mergeCell ref="C550:C551"/>
    <mergeCell ref="D550:D551"/>
    <mergeCell ref="A541:A546"/>
    <mergeCell ref="B541:B546"/>
    <mergeCell ref="C541:C546"/>
    <mergeCell ref="D541:D546"/>
    <mergeCell ref="A394:A395"/>
    <mergeCell ref="B394:B395"/>
    <mergeCell ref="C394:C395"/>
    <mergeCell ref="D394:D395"/>
    <mergeCell ref="D514:D521"/>
    <mergeCell ref="G550:G551"/>
    <mergeCell ref="H550:H551"/>
    <mergeCell ref="E541:E546"/>
    <mergeCell ref="E550:E551"/>
    <mergeCell ref="G514:G521"/>
    <mergeCell ref="H514:H521"/>
    <mergeCell ref="G541:G546"/>
    <mergeCell ref="H541:H546"/>
    <mergeCell ref="E528:E530"/>
    <mergeCell ref="D505:D508"/>
    <mergeCell ref="E514:E521"/>
    <mergeCell ref="A523:A526"/>
    <mergeCell ref="B523:B526"/>
    <mergeCell ref="C523:C526"/>
    <mergeCell ref="D523:D526"/>
    <mergeCell ref="E523:E526"/>
    <mergeCell ref="A514:A521"/>
    <mergeCell ref="B514:B521"/>
    <mergeCell ref="C514:C521"/>
    <mergeCell ref="E501:E503"/>
    <mergeCell ref="E505:E508"/>
    <mergeCell ref="A510:A512"/>
    <mergeCell ref="B510:B512"/>
    <mergeCell ref="C510:C512"/>
    <mergeCell ref="D510:D512"/>
    <mergeCell ref="E510:E512"/>
    <mergeCell ref="A505:A508"/>
    <mergeCell ref="B505:B508"/>
    <mergeCell ref="C505:C508"/>
    <mergeCell ref="A501:A503"/>
    <mergeCell ref="B501:B503"/>
    <mergeCell ref="C501:C503"/>
    <mergeCell ref="D501:D503"/>
    <mergeCell ref="E493:E497"/>
    <mergeCell ref="A488:A491"/>
    <mergeCell ref="B488:B491"/>
    <mergeCell ref="C488:C491"/>
    <mergeCell ref="A493:A497"/>
    <mergeCell ref="B493:B497"/>
    <mergeCell ref="C493:C497"/>
    <mergeCell ref="D493:D497"/>
    <mergeCell ref="A480:A484"/>
    <mergeCell ref="B480:B484"/>
    <mergeCell ref="C480:C484"/>
    <mergeCell ref="E488:E491"/>
    <mergeCell ref="D488:D491"/>
    <mergeCell ref="A475:A478"/>
    <mergeCell ref="B475:B478"/>
    <mergeCell ref="C475:C478"/>
    <mergeCell ref="D475:D478"/>
    <mergeCell ref="A457:A461"/>
    <mergeCell ref="B457:B461"/>
    <mergeCell ref="C457:C461"/>
    <mergeCell ref="D470:D473"/>
    <mergeCell ref="A470:A473"/>
    <mergeCell ref="B470:B473"/>
    <mergeCell ref="C470:C473"/>
    <mergeCell ref="A463:A464"/>
    <mergeCell ref="B463:B464"/>
    <mergeCell ref="C463:C464"/>
    <mergeCell ref="M463:M464"/>
    <mergeCell ref="I488:I491"/>
    <mergeCell ref="D480:D484"/>
    <mergeCell ref="D463:D464"/>
    <mergeCell ref="G488:G491"/>
    <mergeCell ref="G463:G464"/>
    <mergeCell ref="D457:D461"/>
    <mergeCell ref="E480:E484"/>
    <mergeCell ref="G480:G484"/>
    <mergeCell ref="H480:H484"/>
    <mergeCell ref="E470:E473"/>
    <mergeCell ref="E475:E478"/>
    <mergeCell ref="H475:H478"/>
    <mergeCell ref="O470:O473"/>
    <mergeCell ref="H488:H491"/>
    <mergeCell ref="G475:G478"/>
    <mergeCell ref="M488:M491"/>
    <mergeCell ref="N488:N491"/>
    <mergeCell ref="I475:I478"/>
    <mergeCell ref="M475:M478"/>
    <mergeCell ref="E448:E449"/>
    <mergeCell ref="I448:I449"/>
    <mergeCell ref="I470:I473"/>
    <mergeCell ref="M470:M473"/>
    <mergeCell ref="M457:M461"/>
    <mergeCell ref="M448:M449"/>
    <mergeCell ref="E457:E461"/>
    <mergeCell ref="E463:E464"/>
    <mergeCell ref="H463:H464"/>
    <mergeCell ref="I463:I464"/>
    <mergeCell ref="O457:O461"/>
    <mergeCell ref="O463:O464"/>
    <mergeCell ref="N384:N385"/>
    <mergeCell ref="O384:O385"/>
    <mergeCell ref="N448:N449"/>
    <mergeCell ref="O448:O449"/>
    <mergeCell ref="N389:N392"/>
    <mergeCell ref="O389:O392"/>
    <mergeCell ref="N397:N402"/>
    <mergeCell ref="O404:O406"/>
    <mergeCell ref="A404:A406"/>
    <mergeCell ref="B404:B406"/>
    <mergeCell ref="C404:C406"/>
    <mergeCell ref="D404:D406"/>
    <mergeCell ref="A408:A411"/>
    <mergeCell ref="B408:B411"/>
    <mergeCell ref="C408:C411"/>
    <mergeCell ref="D408:D411"/>
    <mergeCell ref="M389:M392"/>
    <mergeCell ref="D397:D402"/>
    <mergeCell ref="E397:E402"/>
    <mergeCell ref="I389:I392"/>
    <mergeCell ref="E394:E395"/>
    <mergeCell ref="G394:G395"/>
    <mergeCell ref="H394:H395"/>
    <mergeCell ref="I397:I402"/>
    <mergeCell ref="M397:M402"/>
    <mergeCell ref="E389:E392"/>
    <mergeCell ref="A389:A392"/>
    <mergeCell ref="B389:B392"/>
    <mergeCell ref="C389:C392"/>
    <mergeCell ref="D389:D392"/>
    <mergeCell ref="A397:A402"/>
    <mergeCell ref="B397:B402"/>
    <mergeCell ref="C397:C402"/>
    <mergeCell ref="O397:O402"/>
    <mergeCell ref="E374:E376"/>
    <mergeCell ref="A374:A376"/>
    <mergeCell ref="B374:B376"/>
    <mergeCell ref="C374:C376"/>
    <mergeCell ref="D374:D376"/>
    <mergeCell ref="G389:G392"/>
    <mergeCell ref="H389:H392"/>
    <mergeCell ref="G397:G402"/>
    <mergeCell ref="H397:H402"/>
    <mergeCell ref="E361:E370"/>
    <mergeCell ref="A361:A370"/>
    <mergeCell ref="B361:B370"/>
    <mergeCell ref="C361:C370"/>
    <mergeCell ref="D361:D370"/>
    <mergeCell ref="E350:E354"/>
    <mergeCell ref="A356:A359"/>
    <mergeCell ref="B356:B359"/>
    <mergeCell ref="C356:C359"/>
    <mergeCell ref="D356:D359"/>
    <mergeCell ref="E356:E359"/>
    <mergeCell ref="A350:A354"/>
    <mergeCell ref="B350:B354"/>
    <mergeCell ref="C350:C354"/>
    <mergeCell ref="D350:D354"/>
    <mergeCell ref="A345:A348"/>
    <mergeCell ref="B345:B348"/>
    <mergeCell ref="C345:C348"/>
    <mergeCell ref="D345:D348"/>
    <mergeCell ref="A340:A343"/>
    <mergeCell ref="B340:B343"/>
    <mergeCell ref="C340:C343"/>
    <mergeCell ref="D340:D343"/>
    <mergeCell ref="H345:H348"/>
    <mergeCell ref="I345:I348"/>
    <mergeCell ref="M345:M348"/>
    <mergeCell ref="H340:H343"/>
    <mergeCell ref="B333:B334"/>
    <mergeCell ref="C333:C334"/>
    <mergeCell ref="D333:D334"/>
    <mergeCell ref="G345:G348"/>
    <mergeCell ref="E345:E348"/>
    <mergeCell ref="E340:E343"/>
    <mergeCell ref="D292:D308"/>
    <mergeCell ref="G340:G343"/>
    <mergeCell ref="G333:G334"/>
    <mergeCell ref="E292:E308"/>
    <mergeCell ref="E310:E322"/>
    <mergeCell ref="E324:E325"/>
    <mergeCell ref="E327:E329"/>
    <mergeCell ref="G327:G329"/>
    <mergeCell ref="A292:A308"/>
    <mergeCell ref="B292:B308"/>
    <mergeCell ref="C292:C308"/>
    <mergeCell ref="H333:H334"/>
    <mergeCell ref="A310:A322"/>
    <mergeCell ref="B310:B322"/>
    <mergeCell ref="C310:C322"/>
    <mergeCell ref="D310:D322"/>
    <mergeCell ref="E333:E334"/>
    <mergeCell ref="A333:A334"/>
    <mergeCell ref="E273:E274"/>
    <mergeCell ref="G310:G322"/>
    <mergeCell ref="H310:H322"/>
    <mergeCell ref="G273:G274"/>
    <mergeCell ref="H273:H274"/>
    <mergeCell ref="G292:G308"/>
    <mergeCell ref="H292:H308"/>
    <mergeCell ref="O111:O130"/>
    <mergeCell ref="A273:A274"/>
    <mergeCell ref="B273:B274"/>
    <mergeCell ref="C273:C274"/>
    <mergeCell ref="D273:D274"/>
    <mergeCell ref="E253:E254"/>
    <mergeCell ref="A253:A254"/>
    <mergeCell ref="B253:B254"/>
    <mergeCell ref="C253:C254"/>
    <mergeCell ref="D253:D254"/>
    <mergeCell ref="E241:E245"/>
    <mergeCell ref="A241:A245"/>
    <mergeCell ref="B241:B245"/>
    <mergeCell ref="C241:C245"/>
    <mergeCell ref="D241:D245"/>
    <mergeCell ref="E223:E228"/>
    <mergeCell ref="A230:A239"/>
    <mergeCell ref="B230:B239"/>
    <mergeCell ref="C230:C239"/>
    <mergeCell ref="D230:D239"/>
    <mergeCell ref="E230:E239"/>
    <mergeCell ref="A223:A228"/>
    <mergeCell ref="B223:B228"/>
    <mergeCell ref="C223:C228"/>
    <mergeCell ref="D223:D228"/>
    <mergeCell ref="E208:E217"/>
    <mergeCell ref="A219:A221"/>
    <mergeCell ref="B219:B221"/>
    <mergeCell ref="C219:C221"/>
    <mergeCell ref="D219:D221"/>
    <mergeCell ref="E219:E221"/>
    <mergeCell ref="A208:A217"/>
    <mergeCell ref="B208:B217"/>
    <mergeCell ref="C208:C217"/>
    <mergeCell ref="D208:D217"/>
    <mergeCell ref="E190:E206"/>
    <mergeCell ref="A184:A188"/>
    <mergeCell ref="B184:B188"/>
    <mergeCell ref="C184:C188"/>
    <mergeCell ref="D184:D188"/>
    <mergeCell ref="A190:A206"/>
    <mergeCell ref="B190:B206"/>
    <mergeCell ref="C190:C206"/>
    <mergeCell ref="D190:D206"/>
    <mergeCell ref="A181:A182"/>
    <mergeCell ref="B181:B182"/>
    <mergeCell ref="D181:D182"/>
    <mergeCell ref="C181:C182"/>
    <mergeCell ref="E173:E174"/>
    <mergeCell ref="A176:A179"/>
    <mergeCell ref="B176:B179"/>
    <mergeCell ref="C176:C179"/>
    <mergeCell ref="D176:D179"/>
    <mergeCell ref="E176:E179"/>
    <mergeCell ref="A173:A174"/>
    <mergeCell ref="B173:B174"/>
    <mergeCell ref="C173:C174"/>
    <mergeCell ref="D173:D174"/>
    <mergeCell ref="E143:E153"/>
    <mergeCell ref="A155:A171"/>
    <mergeCell ref="B155:B171"/>
    <mergeCell ref="C155:C171"/>
    <mergeCell ref="D155:D171"/>
    <mergeCell ref="E155:E171"/>
    <mergeCell ref="A143:A153"/>
    <mergeCell ref="B143:B153"/>
    <mergeCell ref="C143:C153"/>
    <mergeCell ref="D143:D153"/>
    <mergeCell ref="E93:E109"/>
    <mergeCell ref="A132:A141"/>
    <mergeCell ref="B132:B141"/>
    <mergeCell ref="D132:D141"/>
    <mergeCell ref="E132:E141"/>
    <mergeCell ref="A93:A109"/>
    <mergeCell ref="B93:B109"/>
    <mergeCell ref="C93:C109"/>
    <mergeCell ref="D93:D109"/>
    <mergeCell ref="C132:C141"/>
    <mergeCell ref="E88:E89"/>
    <mergeCell ref="A88:A89"/>
    <mergeCell ref="B88:B89"/>
    <mergeCell ref="C88:C89"/>
    <mergeCell ref="D88:D89"/>
    <mergeCell ref="E78:E86"/>
    <mergeCell ref="E68:E74"/>
    <mergeCell ref="A68:A74"/>
    <mergeCell ref="B68:B74"/>
    <mergeCell ref="C68:C74"/>
    <mergeCell ref="D68:D74"/>
    <mergeCell ref="A78:A86"/>
    <mergeCell ref="B78:B86"/>
    <mergeCell ref="C78:C86"/>
    <mergeCell ref="D78:D86"/>
    <mergeCell ref="E57:E63"/>
    <mergeCell ref="A65:A66"/>
    <mergeCell ref="B65:B66"/>
    <mergeCell ref="C65:C66"/>
    <mergeCell ref="D65:D66"/>
    <mergeCell ref="E65:E66"/>
    <mergeCell ref="A57:A63"/>
    <mergeCell ref="B57:B63"/>
    <mergeCell ref="C57:C63"/>
    <mergeCell ref="D57:D63"/>
    <mergeCell ref="E38:E48"/>
    <mergeCell ref="A52:A55"/>
    <mergeCell ref="B52:B55"/>
    <mergeCell ref="C52:C55"/>
    <mergeCell ref="D52:D55"/>
    <mergeCell ref="E52:E55"/>
    <mergeCell ref="A38:A48"/>
    <mergeCell ref="B38:B48"/>
    <mergeCell ref="C38:C48"/>
    <mergeCell ref="D38:D48"/>
    <mergeCell ref="E35:E36"/>
    <mergeCell ref="A22:A33"/>
    <mergeCell ref="B22:B33"/>
    <mergeCell ref="C22:C33"/>
    <mergeCell ref="D22:D33"/>
    <mergeCell ref="A35:A36"/>
    <mergeCell ref="B35:B36"/>
    <mergeCell ref="C35:C36"/>
    <mergeCell ref="D35:D36"/>
    <mergeCell ref="I88:I89"/>
    <mergeCell ref="M88:M89"/>
    <mergeCell ref="O78:O86"/>
    <mergeCell ref="N88:N89"/>
    <mergeCell ref="O88:O89"/>
    <mergeCell ref="N93:N109"/>
    <mergeCell ref="O93:O109"/>
    <mergeCell ref="G93:G109"/>
    <mergeCell ref="H93:H109"/>
    <mergeCell ref="N143:N153"/>
    <mergeCell ref="O143:O153"/>
    <mergeCell ref="G143:G153"/>
    <mergeCell ref="H143:H153"/>
    <mergeCell ref="I143:I153"/>
    <mergeCell ref="M143:M153"/>
    <mergeCell ref="I132:I141"/>
    <mergeCell ref="M132:M141"/>
    <mergeCell ref="N132:N141"/>
    <mergeCell ref="O132:O141"/>
    <mergeCell ref="O173:O174"/>
    <mergeCell ref="G155:G171"/>
    <mergeCell ref="H155:H171"/>
    <mergeCell ref="G173:G174"/>
    <mergeCell ref="H173:H174"/>
    <mergeCell ref="I173:I174"/>
    <mergeCell ref="M173:M174"/>
    <mergeCell ref="I155:I171"/>
    <mergeCell ref="M155:M171"/>
    <mergeCell ref="O155:O171"/>
    <mergeCell ref="I176:I179"/>
    <mergeCell ref="M176:M179"/>
    <mergeCell ref="O184:O188"/>
    <mergeCell ref="G181:G182"/>
    <mergeCell ref="H181:H182"/>
    <mergeCell ref="N176:N179"/>
    <mergeCell ref="O176:O179"/>
    <mergeCell ref="M181:M182"/>
    <mergeCell ref="N181:N182"/>
    <mergeCell ref="O181:O182"/>
    <mergeCell ref="E181:E182"/>
    <mergeCell ref="I184:I188"/>
    <mergeCell ref="E184:E188"/>
    <mergeCell ref="I181:I182"/>
    <mergeCell ref="N190:N206"/>
    <mergeCell ref="O190:O206"/>
    <mergeCell ref="G184:G188"/>
    <mergeCell ref="H184:H188"/>
    <mergeCell ref="G190:G206"/>
    <mergeCell ref="H190:H206"/>
    <mergeCell ref="I190:I206"/>
    <mergeCell ref="M190:M206"/>
    <mergeCell ref="M184:M188"/>
    <mergeCell ref="N184:N188"/>
    <mergeCell ref="G208:G217"/>
    <mergeCell ref="H208:H217"/>
    <mergeCell ref="I208:I217"/>
    <mergeCell ref="M208:M217"/>
    <mergeCell ref="N223:N228"/>
    <mergeCell ref="O223:O228"/>
    <mergeCell ref="G219:G221"/>
    <mergeCell ref="H219:H221"/>
    <mergeCell ref="I219:I221"/>
    <mergeCell ref="M219:M221"/>
    <mergeCell ref="N208:N217"/>
    <mergeCell ref="O208:O217"/>
    <mergeCell ref="N219:N221"/>
    <mergeCell ref="O219:O221"/>
    <mergeCell ref="N230:N239"/>
    <mergeCell ref="O230:O239"/>
    <mergeCell ref="G223:G228"/>
    <mergeCell ref="H223:H228"/>
    <mergeCell ref="G230:G239"/>
    <mergeCell ref="H230:H239"/>
    <mergeCell ref="I230:I239"/>
    <mergeCell ref="M230:M239"/>
    <mergeCell ref="I223:I228"/>
    <mergeCell ref="M223:M228"/>
    <mergeCell ref="G241:G245"/>
    <mergeCell ref="H241:H245"/>
    <mergeCell ref="I241:I245"/>
    <mergeCell ref="M241:M245"/>
    <mergeCell ref="N241:N245"/>
    <mergeCell ref="O241:O245"/>
    <mergeCell ref="N249:N258"/>
    <mergeCell ref="O249:O258"/>
    <mergeCell ref="K253:K254"/>
    <mergeCell ref="L253:L254"/>
    <mergeCell ref="M273:M274"/>
    <mergeCell ref="M249:M258"/>
    <mergeCell ref="M292:M308"/>
    <mergeCell ref="I350:I354"/>
    <mergeCell ref="M350:M354"/>
    <mergeCell ref="M310:M322"/>
    <mergeCell ref="M340:M343"/>
    <mergeCell ref="I340:I343"/>
    <mergeCell ref="I310:I322"/>
    <mergeCell ref="I333:I334"/>
    <mergeCell ref="M333:M334"/>
    <mergeCell ref="I292:I308"/>
    <mergeCell ref="N273:N274"/>
    <mergeCell ref="O273:O274"/>
    <mergeCell ref="N292:N308"/>
    <mergeCell ref="O292:O308"/>
    <mergeCell ref="N310:N322"/>
    <mergeCell ref="O310:O322"/>
    <mergeCell ref="N333:N334"/>
    <mergeCell ref="N350:N354"/>
    <mergeCell ref="O350:O354"/>
    <mergeCell ref="O333:O334"/>
    <mergeCell ref="O340:O343"/>
    <mergeCell ref="N345:N348"/>
    <mergeCell ref="O345:O348"/>
    <mergeCell ref="N340:N343"/>
    <mergeCell ref="N356:N359"/>
    <mergeCell ref="O356:O359"/>
    <mergeCell ref="G350:G354"/>
    <mergeCell ref="H350:H354"/>
    <mergeCell ref="G356:G359"/>
    <mergeCell ref="H356:H359"/>
    <mergeCell ref="I356:I359"/>
    <mergeCell ref="M356:M359"/>
    <mergeCell ref="M384:M385"/>
    <mergeCell ref="I361:I370"/>
    <mergeCell ref="N361:N370"/>
    <mergeCell ref="I384:I385"/>
    <mergeCell ref="O361:O370"/>
    <mergeCell ref="G374:G376"/>
    <mergeCell ref="H374:H376"/>
    <mergeCell ref="I374:I376"/>
    <mergeCell ref="M374:M376"/>
    <mergeCell ref="N374:N376"/>
    <mergeCell ref="O374:O376"/>
    <mergeCell ref="H361:H370"/>
    <mergeCell ref="G361:G370"/>
    <mergeCell ref="M361:M370"/>
    <mergeCell ref="N408:N411"/>
    <mergeCell ref="O408:O411"/>
    <mergeCell ref="G404:G406"/>
    <mergeCell ref="H404:H406"/>
    <mergeCell ref="N404:N406"/>
    <mergeCell ref="G408:G411"/>
    <mergeCell ref="H408:H411"/>
    <mergeCell ref="I408:I411"/>
    <mergeCell ref="M408:M411"/>
    <mergeCell ref="E404:E406"/>
    <mergeCell ref="E408:E411"/>
    <mergeCell ref="I404:I406"/>
    <mergeCell ref="M404:M406"/>
    <mergeCell ref="A415:A428"/>
    <mergeCell ref="C415:C428"/>
    <mergeCell ref="D415:D428"/>
    <mergeCell ref="E415:E428"/>
    <mergeCell ref="D448:D449"/>
    <mergeCell ref="A448:A449"/>
    <mergeCell ref="B448:B449"/>
    <mergeCell ref="C448:C449"/>
    <mergeCell ref="G493:G497"/>
    <mergeCell ref="H493:H497"/>
    <mergeCell ref="I493:I497"/>
    <mergeCell ref="G448:G449"/>
    <mergeCell ref="H448:H449"/>
    <mergeCell ref="G457:G461"/>
    <mergeCell ref="H457:H461"/>
    <mergeCell ref="I457:I461"/>
    <mergeCell ref="G470:G473"/>
    <mergeCell ref="H470:H473"/>
    <mergeCell ref="G501:G503"/>
    <mergeCell ref="H501:H503"/>
    <mergeCell ref="I501:I503"/>
    <mergeCell ref="M501:M503"/>
    <mergeCell ref="M493:M497"/>
    <mergeCell ref="N493:N497"/>
    <mergeCell ref="N505:N508"/>
    <mergeCell ref="O493:O497"/>
    <mergeCell ref="N501:N503"/>
    <mergeCell ref="O501:O503"/>
    <mergeCell ref="O505:O508"/>
    <mergeCell ref="N510:N512"/>
    <mergeCell ref="O510:O512"/>
    <mergeCell ref="G505:G508"/>
    <mergeCell ref="H505:H508"/>
    <mergeCell ref="M505:M508"/>
    <mergeCell ref="G510:G512"/>
    <mergeCell ref="H510:H512"/>
    <mergeCell ref="I510:I512"/>
    <mergeCell ref="M510:M512"/>
    <mergeCell ref="I505:I508"/>
    <mergeCell ref="M514:M521"/>
    <mergeCell ref="G523:G526"/>
    <mergeCell ref="H523:H526"/>
    <mergeCell ref="I523:I526"/>
    <mergeCell ref="M523:M526"/>
    <mergeCell ref="I514:I521"/>
    <mergeCell ref="N514:N521"/>
    <mergeCell ref="O514:O521"/>
    <mergeCell ref="N523:N526"/>
    <mergeCell ref="O523:O526"/>
    <mergeCell ref="N541:N546"/>
    <mergeCell ref="O541:O546"/>
    <mergeCell ref="A582:A585"/>
    <mergeCell ref="B582:B585"/>
    <mergeCell ref="C582:C585"/>
    <mergeCell ref="D582:D585"/>
    <mergeCell ref="E582:E585"/>
    <mergeCell ref="G582:G585"/>
    <mergeCell ref="H582:H585"/>
    <mergeCell ref="N550:N551"/>
    <mergeCell ref="O577:O580"/>
    <mergeCell ref="O550:O551"/>
    <mergeCell ref="G558:G560"/>
    <mergeCell ref="H558:H560"/>
    <mergeCell ref="I558:I560"/>
    <mergeCell ref="M558:M560"/>
    <mergeCell ref="N558:N560"/>
    <mergeCell ref="O558:O560"/>
    <mergeCell ref="M550:M551"/>
    <mergeCell ref="I550:I551"/>
    <mergeCell ref="N562:N570"/>
    <mergeCell ref="O562:O570"/>
    <mergeCell ref="N572:N575"/>
    <mergeCell ref="O572:O575"/>
    <mergeCell ref="N602:N603"/>
    <mergeCell ref="O602:O603"/>
    <mergeCell ref="G577:G580"/>
    <mergeCell ref="H577:H580"/>
    <mergeCell ref="G602:G603"/>
    <mergeCell ref="H602:H603"/>
    <mergeCell ref="I602:I603"/>
    <mergeCell ref="M602:M603"/>
    <mergeCell ref="M577:M580"/>
    <mergeCell ref="N577:N580"/>
    <mergeCell ref="O669:O672"/>
    <mergeCell ref="O607:O622"/>
    <mergeCell ref="G638:G642"/>
    <mergeCell ref="H638:H642"/>
    <mergeCell ref="I638:I642"/>
    <mergeCell ref="M638:M642"/>
    <mergeCell ref="N638:N642"/>
    <mergeCell ref="O638:O642"/>
    <mergeCell ref="H607:H622"/>
    <mergeCell ref="I607:I622"/>
    <mergeCell ref="N674:N678"/>
    <mergeCell ref="O674:O678"/>
    <mergeCell ref="G674:G678"/>
    <mergeCell ref="H674:H678"/>
    <mergeCell ref="I674:I678"/>
    <mergeCell ref="M674:M678"/>
    <mergeCell ref="I669:I672"/>
    <mergeCell ref="M669:M672"/>
    <mergeCell ref="N669:N672"/>
    <mergeCell ref="A384:A385"/>
    <mergeCell ref="M415:M428"/>
    <mergeCell ref="N415:N428"/>
    <mergeCell ref="M607:M622"/>
    <mergeCell ref="N607:N622"/>
    <mergeCell ref="A607:A622"/>
    <mergeCell ref="B607:B622"/>
    <mergeCell ref="O415:O428"/>
    <mergeCell ref="B384:B385"/>
    <mergeCell ref="C384:C385"/>
    <mergeCell ref="D384:D385"/>
    <mergeCell ref="E384:E385"/>
    <mergeCell ref="G384:G385"/>
    <mergeCell ref="H384:H385"/>
    <mergeCell ref="B415:B428"/>
    <mergeCell ref="G415:G428"/>
    <mergeCell ref="H415:H428"/>
    <mergeCell ref="N324:N325"/>
    <mergeCell ref="O324:O325"/>
    <mergeCell ref="M324:M325"/>
    <mergeCell ref="G324:G325"/>
    <mergeCell ref="H324:H325"/>
    <mergeCell ref="I324:I325"/>
    <mergeCell ref="A324:A325"/>
    <mergeCell ref="B324:B325"/>
    <mergeCell ref="C324:C325"/>
    <mergeCell ref="D324:D325"/>
    <mergeCell ref="A327:A329"/>
    <mergeCell ref="B327:B329"/>
    <mergeCell ref="C327:C329"/>
    <mergeCell ref="D327:D329"/>
    <mergeCell ref="O327:O329"/>
    <mergeCell ref="H327:H329"/>
    <mergeCell ref="I327:I329"/>
    <mergeCell ref="M327:M329"/>
    <mergeCell ref="N327:N329"/>
    <mergeCell ref="A666:A667"/>
    <mergeCell ref="B666:B667"/>
    <mergeCell ref="C666:C667"/>
    <mergeCell ref="D666:D667"/>
    <mergeCell ref="M666:M667"/>
    <mergeCell ref="N666:N667"/>
    <mergeCell ref="O666:O667"/>
    <mergeCell ref="E666:E667"/>
    <mergeCell ref="G666:G667"/>
    <mergeCell ref="H666:H667"/>
    <mergeCell ref="I666:I667"/>
    <mergeCell ref="A555:A556"/>
    <mergeCell ref="B555:B556"/>
    <mergeCell ref="C555:C556"/>
    <mergeCell ref="D555:D556"/>
    <mergeCell ref="M555:M556"/>
    <mergeCell ref="N555:N556"/>
    <mergeCell ref="O555:O556"/>
    <mergeCell ref="E555:E556"/>
    <mergeCell ref="G555:G556"/>
    <mergeCell ref="H555:H556"/>
    <mergeCell ref="I555:I556"/>
  </mergeCells>
  <hyperlinks>
    <hyperlink ref="A38" r:id="rId1" display="http://dkpp.rv.ua/index.php?level=38.11.2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4"/>
  <headerFooter alignWithMargins="0">
    <oddHeader>&amp;CСтраница &amp;P из &amp;N</oddHeader>
  </headerFooter>
  <rowBreaks count="18" manualBreakCount="18">
    <brk id="41" max="5" man="1"/>
    <brk id="82" max="5" man="1"/>
    <brk id="134" max="5" man="1"/>
    <brk id="179" max="5" man="1"/>
    <brk id="221" max="5" man="1"/>
    <brk id="252" max="5" man="1"/>
    <brk id="281" max="5" man="1"/>
    <brk id="313" max="5" man="1"/>
    <brk id="346" max="5" man="1"/>
    <brk id="382" max="5" man="1"/>
    <brk id="413" max="5" man="1"/>
    <brk id="452" max="5" man="1"/>
    <brk id="487" max="5" man="1"/>
    <brk id="521" max="5" man="1"/>
    <brk id="556" max="5" man="1"/>
    <brk id="591" max="5" man="1"/>
    <brk id="621" max="5" man="1"/>
    <brk id="655" max="5" man="1"/>
  </rowBreaks>
  <colBreaks count="1" manualBreakCount="1">
    <brk id="6" max="6553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skvortsova</cp:lastModifiedBy>
  <cp:lastPrinted>2015-12-16T07:25:10Z</cp:lastPrinted>
  <dcterms:created xsi:type="dcterms:W3CDTF">2015-11-04T09:06:35Z</dcterms:created>
  <dcterms:modified xsi:type="dcterms:W3CDTF">2015-12-16T07:42:50Z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